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dfin.vmr.gov.ua/Documents/Відділ доходів бюджету/Серветник Максим Миколайович/Аналізи/Щомісячні/Аналіз 2022 рік/Очеретному, сайт, пайова/"/>
    </mc:Choice>
  </mc:AlternateContent>
  <bookViews>
    <workbookView xWindow="0" yWindow="0" windowWidth="28800" windowHeight="12015"/>
  </bookViews>
  <sheets>
    <sheet name="8 місяців 2022" sheetId="22" r:id="rId1"/>
  </sheets>
  <externalReferences>
    <externalReference r:id="rId2"/>
  </externalReferences>
  <definedNames>
    <definedName name="_xlnm.Print_Titles" localSheetId="0">'8 місяців 2022'!$3:$5</definedName>
    <definedName name="_xlnm.Print_Area" localSheetId="0">'8 місяців 2022'!$A$1:$X$112</definedName>
  </definedNames>
  <calcPr calcId="152511"/>
</workbook>
</file>

<file path=xl/calcChain.xml><?xml version="1.0" encoding="utf-8"?>
<calcChain xmlns="http://schemas.openxmlformats.org/spreadsheetml/2006/main">
  <c r="N17" i="22" l="1"/>
  <c r="E17" i="22" l="1"/>
  <c r="E14" i="22" s="1"/>
  <c r="F55" i="22"/>
  <c r="F91" i="22"/>
  <c r="O17" i="22" l="1"/>
  <c r="O14" i="22" s="1"/>
  <c r="F18" i="22"/>
  <c r="Q18" i="22" s="1"/>
  <c r="F19" i="22"/>
  <c r="W19" i="22" s="1"/>
  <c r="R17" i="22"/>
  <c r="P91" i="22"/>
  <c r="R91" i="22"/>
  <c r="S91" i="22" s="1"/>
  <c r="R86" i="22"/>
  <c r="R84" i="22"/>
  <c r="P55" i="22"/>
  <c r="R55" i="22"/>
  <c r="S55" i="22" s="1"/>
  <c r="R30" i="22"/>
  <c r="R29" i="22"/>
  <c r="R19" i="22"/>
  <c r="R18" i="22"/>
  <c r="V95" i="22"/>
  <c r="W91" i="22"/>
  <c r="V68" i="22"/>
  <c r="V57" i="22"/>
  <c r="V69" i="22" s="1"/>
  <c r="W55" i="22"/>
  <c r="V67" i="22" l="1"/>
  <c r="W18" i="22"/>
  <c r="U19" i="22"/>
  <c r="P19" i="22"/>
  <c r="S18" i="22"/>
  <c r="Q19" i="22"/>
  <c r="T19" i="22"/>
  <c r="S19" i="22"/>
  <c r="P18" i="22"/>
  <c r="U18" i="22"/>
  <c r="T18" i="22"/>
  <c r="M94" i="22" l="1"/>
  <c r="M93" i="22" s="1"/>
  <c r="M82" i="22"/>
  <c r="M73" i="22"/>
  <c r="M88" i="22" s="1"/>
  <c r="M69" i="22"/>
  <c r="M68" i="22"/>
  <c r="M105" i="22" s="1"/>
  <c r="M66" i="22"/>
  <c r="M57" i="22"/>
  <c r="M35" i="22"/>
  <c r="M21" i="22"/>
  <c r="M14" i="22"/>
  <c r="M9" i="22"/>
  <c r="M67" i="22" l="1"/>
  <c r="M64" i="22" s="1"/>
  <c r="M48" i="22"/>
  <c r="M106" i="22"/>
  <c r="M104" i="22" s="1"/>
  <c r="M98" i="22"/>
  <c r="M103" i="22" l="1"/>
  <c r="M71" i="22"/>
  <c r="M101" i="22"/>
  <c r="M108" i="22"/>
  <c r="N14" i="22" l="1"/>
  <c r="N21" i="22"/>
  <c r="D66" i="22" l="1"/>
  <c r="G66" i="22"/>
  <c r="H66" i="22"/>
  <c r="I66" i="22"/>
  <c r="J66" i="22"/>
  <c r="K66" i="22"/>
  <c r="L66" i="22"/>
  <c r="N66" i="22"/>
  <c r="O66" i="22"/>
  <c r="R52" i="22"/>
  <c r="F52" i="22"/>
  <c r="T52" i="22" l="1"/>
  <c r="W52" i="22"/>
  <c r="P52" i="22"/>
  <c r="S52" i="22"/>
  <c r="U52" i="22"/>
  <c r="Q52" i="22"/>
  <c r="L94" i="22" l="1"/>
  <c r="L93" i="22" s="1"/>
  <c r="L82" i="22"/>
  <c r="L73" i="22"/>
  <c r="L88" i="22" s="1"/>
  <c r="L68" i="22"/>
  <c r="L105" i="22" s="1"/>
  <c r="L58" i="22"/>
  <c r="L57" i="22"/>
  <c r="L69" i="22" s="1"/>
  <c r="L67" i="22" s="1"/>
  <c r="L64" i="22" s="1"/>
  <c r="L103" i="22" s="1"/>
  <c r="L35" i="22"/>
  <c r="L21" i="22"/>
  <c r="L14" i="22"/>
  <c r="L9" i="22"/>
  <c r="L48" i="22" s="1"/>
  <c r="L106" i="22" l="1"/>
  <c r="L104" i="22" s="1"/>
  <c r="L101" i="22"/>
  <c r="L108" i="22" s="1"/>
  <c r="L98" i="22"/>
  <c r="L71" i="22"/>
  <c r="F49" i="22" l="1"/>
  <c r="R54" i="22"/>
  <c r="R53" i="22"/>
  <c r="R49" i="22"/>
  <c r="T49" i="22" l="1"/>
  <c r="U49" i="22"/>
  <c r="S49" i="22"/>
  <c r="O57" i="22" l="1"/>
  <c r="V9" i="22"/>
  <c r="K94" i="22" l="1"/>
  <c r="K93" i="22"/>
  <c r="K82" i="22"/>
  <c r="K73" i="22"/>
  <c r="K88" i="22" s="1"/>
  <c r="K68" i="22"/>
  <c r="K105" i="22" s="1"/>
  <c r="K61" i="22"/>
  <c r="K57" i="22" s="1"/>
  <c r="K69" i="22" s="1"/>
  <c r="K67" i="22" s="1"/>
  <c r="K64" i="22" s="1"/>
  <c r="K103" i="22" s="1"/>
  <c r="K35" i="22"/>
  <c r="K21" i="22"/>
  <c r="K14" i="22"/>
  <c r="K9" i="22"/>
  <c r="K48" i="22" l="1"/>
  <c r="K71" i="22" s="1"/>
  <c r="K98" i="22"/>
  <c r="K106" i="22"/>
  <c r="K104" i="22" s="1"/>
  <c r="K101" i="22"/>
  <c r="K108" i="22" s="1"/>
  <c r="Y15" i="22"/>
  <c r="U96" i="22" l="1"/>
  <c r="F63" i="22"/>
  <c r="F50" i="22"/>
  <c r="P63" i="22" l="1"/>
  <c r="P50" i="22"/>
  <c r="E87" i="22" l="1"/>
  <c r="R87" i="22" s="1"/>
  <c r="E85" i="22"/>
  <c r="R85" i="22" s="1"/>
  <c r="E83" i="22"/>
  <c r="R83" i="22" s="1"/>
  <c r="E81" i="22"/>
  <c r="R80" i="22"/>
  <c r="E79" i="22"/>
  <c r="R79" i="22" s="1"/>
  <c r="E78" i="22"/>
  <c r="R77" i="22"/>
  <c r="E75" i="22"/>
  <c r="E74" i="22"/>
  <c r="R74" i="22" s="1"/>
  <c r="E68" i="22"/>
  <c r="S63" i="22"/>
  <c r="E63" i="22"/>
  <c r="R63" i="22" s="1"/>
  <c r="E62" i="22"/>
  <c r="R62" i="22" s="1"/>
  <c r="E61" i="22"/>
  <c r="R61" i="22" s="1"/>
  <c r="E60" i="22"/>
  <c r="R60" i="22" s="1"/>
  <c r="E59" i="22"/>
  <c r="R59" i="22" s="1"/>
  <c r="E58" i="22"/>
  <c r="R58" i="22" s="1"/>
  <c r="E56" i="22"/>
  <c r="R56" i="22" s="1"/>
  <c r="E51" i="22"/>
  <c r="E66" i="22" s="1"/>
  <c r="E50" i="22"/>
  <c r="R50" i="22" s="1"/>
  <c r="S50" i="22" s="1"/>
  <c r="E47" i="22"/>
  <c r="R47" i="22" s="1"/>
  <c r="E46" i="22"/>
  <c r="R46" i="22" s="1"/>
  <c r="R45" i="22"/>
  <c r="E44" i="22"/>
  <c r="R44" i="22" s="1"/>
  <c r="E43" i="22"/>
  <c r="R43" i="22" s="1"/>
  <c r="R42" i="22"/>
  <c r="E41" i="22"/>
  <c r="R41" i="22" s="1"/>
  <c r="E40" i="22"/>
  <c r="R40" i="22" s="1"/>
  <c r="E39" i="22"/>
  <c r="R39" i="22" s="1"/>
  <c r="E38" i="22"/>
  <c r="R38" i="22" s="1"/>
  <c r="E37" i="22"/>
  <c r="R37" i="22" s="1"/>
  <c r="E36" i="22"/>
  <c r="R36" i="22" s="1"/>
  <c r="R34" i="22"/>
  <c r="E33" i="22"/>
  <c r="R33" i="22" s="1"/>
  <c r="E32" i="22"/>
  <c r="R32" i="22" s="1"/>
  <c r="R31" i="22"/>
  <c r="E28" i="22"/>
  <c r="R28" i="22" s="1"/>
  <c r="E27" i="22"/>
  <c r="R27" i="22" s="1"/>
  <c r="E26" i="22"/>
  <c r="R26" i="22" s="1"/>
  <c r="E25" i="22"/>
  <c r="R25" i="22" s="1"/>
  <c r="E24" i="22"/>
  <c r="R24" i="22" s="1"/>
  <c r="E23" i="22"/>
  <c r="R23" i="22" s="1"/>
  <c r="E22" i="22"/>
  <c r="R22" i="22" s="1"/>
  <c r="E20" i="22"/>
  <c r="R20" i="22" s="1"/>
  <c r="R16" i="22"/>
  <c r="R15" i="22"/>
  <c r="E13" i="22"/>
  <c r="R13" i="22" s="1"/>
  <c r="E12" i="22"/>
  <c r="R12" i="22" s="1"/>
  <c r="R11" i="22"/>
  <c r="E10" i="22"/>
  <c r="E8" i="22"/>
  <c r="R8" i="22" s="1"/>
  <c r="R7" i="22"/>
  <c r="W63" i="22"/>
  <c r="W50" i="22"/>
  <c r="A50" i="22"/>
  <c r="A51" i="22" s="1"/>
  <c r="R10" i="22" l="1"/>
  <c r="E9" i="22"/>
  <c r="E82" i="22"/>
  <c r="A52" i="22"/>
  <c r="A53" i="22" s="1"/>
  <c r="A54" i="22" s="1"/>
  <c r="A55" i="22" s="1"/>
  <c r="A56" i="22" s="1"/>
  <c r="A57" i="22" s="1"/>
  <c r="R51" i="22"/>
  <c r="J94" i="22"/>
  <c r="J93" i="22" s="1"/>
  <c r="J82" i="22"/>
  <c r="J73" i="22"/>
  <c r="J88" i="22" s="1"/>
  <c r="J68" i="22"/>
  <c r="J59" i="22"/>
  <c r="J58" i="22"/>
  <c r="J57" i="22" s="1"/>
  <c r="J69" i="22" s="1"/>
  <c r="J35" i="22"/>
  <c r="J21" i="22"/>
  <c r="J14" i="22"/>
  <c r="J9" i="22"/>
  <c r="J105" i="22" l="1"/>
  <c r="J48" i="22"/>
  <c r="J106" i="22"/>
  <c r="J104" i="22" s="1"/>
  <c r="J67" i="22"/>
  <c r="J64" i="22" s="1"/>
  <c r="J98" i="22"/>
  <c r="J101" i="22" l="1"/>
  <c r="J103" i="22"/>
  <c r="J71" i="22"/>
  <c r="J108" i="22" l="1"/>
  <c r="J119" i="22" s="1"/>
  <c r="I94" i="22" l="1"/>
  <c r="I93" i="22" s="1"/>
  <c r="I82" i="22"/>
  <c r="I73" i="22"/>
  <c r="I88" i="22" s="1"/>
  <c r="I68" i="22"/>
  <c r="I57" i="22"/>
  <c r="I69" i="22" s="1"/>
  <c r="I35" i="22"/>
  <c r="I21" i="22"/>
  <c r="I14" i="22"/>
  <c r="I9" i="22"/>
  <c r="I105" i="22" l="1"/>
  <c r="I106" i="22"/>
  <c r="I67" i="22"/>
  <c r="I64" i="22" s="1"/>
  <c r="I103" i="22" s="1"/>
  <c r="I48" i="22"/>
  <c r="I101" i="22" s="1"/>
  <c r="I98" i="22"/>
  <c r="Y40" i="22"/>
  <c r="Y31" i="22"/>
  <c r="I104" i="22" l="1"/>
  <c r="I108" i="22"/>
  <c r="I119" i="22" s="1"/>
  <c r="I71" i="22"/>
  <c r="F62" i="22" l="1"/>
  <c r="S62" i="22" s="1"/>
  <c r="P62" i="22" l="1"/>
  <c r="W62" i="22" l="1"/>
  <c r="H94" i="22" l="1"/>
  <c r="H93" i="22" s="1"/>
  <c r="H82" i="22"/>
  <c r="H73" i="22"/>
  <c r="H88" i="22" s="1"/>
  <c r="H68" i="22"/>
  <c r="H57" i="22"/>
  <c r="H69" i="22" s="1"/>
  <c r="H67" i="22" s="1"/>
  <c r="H64" i="22" s="1"/>
  <c r="H35" i="22"/>
  <c r="H21" i="22"/>
  <c r="H14" i="22"/>
  <c r="H9" i="22"/>
  <c r="H105" i="22" l="1"/>
  <c r="H98" i="22"/>
  <c r="H48" i="22"/>
  <c r="H101" i="22" s="1"/>
  <c r="H106" i="22"/>
  <c r="H104" i="22" s="1"/>
  <c r="H103" i="22"/>
  <c r="F78" i="22"/>
  <c r="W78" i="22" s="1"/>
  <c r="F76" i="22"/>
  <c r="F20" i="22"/>
  <c r="W20" i="22" s="1"/>
  <c r="N9" i="22"/>
  <c r="N35" i="22"/>
  <c r="Y35" i="22" s="1"/>
  <c r="N57" i="22"/>
  <c r="N48" i="22" l="1"/>
  <c r="W76" i="22"/>
  <c r="P76" i="22"/>
  <c r="H71" i="22"/>
  <c r="S76" i="22"/>
  <c r="S78" i="22"/>
  <c r="S20" i="22"/>
  <c r="H108" i="22"/>
  <c r="H119" i="22" s="1"/>
  <c r="P20" i="22"/>
  <c r="P78" i="22"/>
  <c r="N94" i="22" l="1"/>
  <c r="N73" i="22"/>
  <c r="N88" i="22" s="1"/>
  <c r="N82" i="22"/>
  <c r="N68" i="22"/>
  <c r="N69" i="22"/>
  <c r="N106" i="22" s="1"/>
  <c r="F95" i="22"/>
  <c r="F90" i="22"/>
  <c r="U90" i="22" s="1"/>
  <c r="F87" i="22"/>
  <c r="U87" i="22" s="1"/>
  <c r="F86" i="22"/>
  <c r="U86" i="22" s="1"/>
  <c r="F85" i="22"/>
  <c r="F84" i="22"/>
  <c r="F83" i="22"/>
  <c r="F81" i="22"/>
  <c r="F80" i="22"/>
  <c r="U80" i="22" s="1"/>
  <c r="F79" i="22"/>
  <c r="U79" i="22" s="1"/>
  <c r="F77" i="22"/>
  <c r="U77" i="22" s="1"/>
  <c r="F75" i="22"/>
  <c r="F74" i="22"/>
  <c r="U74" i="22" s="1"/>
  <c r="F61" i="22"/>
  <c r="F60" i="22"/>
  <c r="F59" i="22"/>
  <c r="F58" i="22"/>
  <c r="F56" i="22"/>
  <c r="F54" i="22"/>
  <c r="U54" i="22" s="1"/>
  <c r="F53" i="22"/>
  <c r="U53" i="22" s="1"/>
  <c r="F51" i="22"/>
  <c r="U51" i="22" s="1"/>
  <c r="F47" i="22"/>
  <c r="U47" i="22" s="1"/>
  <c r="F46" i="22"/>
  <c r="U46" i="22" s="1"/>
  <c r="F45" i="22"/>
  <c r="U45" i="22" s="1"/>
  <c r="F44" i="22"/>
  <c r="U44" i="22" s="1"/>
  <c r="F43" i="22"/>
  <c r="U43" i="22" s="1"/>
  <c r="F42" i="22"/>
  <c r="T42" i="22" s="1"/>
  <c r="F41" i="22"/>
  <c r="U41" i="22" s="1"/>
  <c r="F40" i="22"/>
  <c r="U40" i="22" s="1"/>
  <c r="F39" i="22"/>
  <c r="U39" i="22" s="1"/>
  <c r="F38" i="22"/>
  <c r="U38" i="22" s="1"/>
  <c r="F37" i="22"/>
  <c r="U37" i="22" s="1"/>
  <c r="F36" i="22"/>
  <c r="U36" i="22" s="1"/>
  <c r="F34" i="22"/>
  <c r="U34" i="22" s="1"/>
  <c r="F33" i="22"/>
  <c r="U33" i="22" s="1"/>
  <c r="F32" i="22"/>
  <c r="U32" i="22" s="1"/>
  <c r="F31" i="22"/>
  <c r="U31" i="22" s="1"/>
  <c r="F30" i="22"/>
  <c r="U30" i="22" s="1"/>
  <c r="F29" i="22"/>
  <c r="X29" i="22" s="1"/>
  <c r="F28" i="22"/>
  <c r="U28" i="22" s="1"/>
  <c r="F27" i="22"/>
  <c r="F26" i="22"/>
  <c r="U26" i="22" s="1"/>
  <c r="F25" i="22"/>
  <c r="U25" i="22" s="1"/>
  <c r="F24" i="22"/>
  <c r="U24" i="22" s="1"/>
  <c r="F23" i="22"/>
  <c r="U23" i="22" s="1"/>
  <c r="F22" i="22"/>
  <c r="U22" i="22" s="1"/>
  <c r="F17" i="22"/>
  <c r="U17" i="22" s="1"/>
  <c r="F16" i="22"/>
  <c r="U16" i="22" s="1"/>
  <c r="F15" i="22"/>
  <c r="F13" i="22"/>
  <c r="F12" i="22"/>
  <c r="U12" i="22" s="1"/>
  <c r="F11" i="22"/>
  <c r="U11" i="22" s="1"/>
  <c r="F10" i="22"/>
  <c r="F8" i="22"/>
  <c r="U8" i="22" s="1"/>
  <c r="F7" i="22"/>
  <c r="U7" i="22" s="1"/>
  <c r="U60" i="22" l="1"/>
  <c r="X60" i="22"/>
  <c r="U42" i="22"/>
  <c r="Q42" i="22"/>
  <c r="X42" i="22"/>
  <c r="U61" i="22"/>
  <c r="X61" i="22"/>
  <c r="T84" i="22"/>
  <c r="U84" i="22"/>
  <c r="Q84" i="22"/>
  <c r="U83" i="22"/>
  <c r="Q83" i="22"/>
  <c r="X83" i="22"/>
  <c r="U29" i="22"/>
  <c r="Q29" i="22"/>
  <c r="U15" i="22"/>
  <c r="Z15" i="22"/>
  <c r="AA15" i="22" s="1"/>
  <c r="X58" i="22"/>
  <c r="U58" i="22"/>
  <c r="X85" i="22"/>
  <c r="U85" i="22"/>
  <c r="X59" i="22"/>
  <c r="U59" i="22"/>
  <c r="X13" i="22"/>
  <c r="U13" i="22"/>
  <c r="Q10" i="22"/>
  <c r="U10" i="22"/>
  <c r="X27" i="22"/>
  <c r="U27" i="22"/>
  <c r="X11" i="22"/>
  <c r="Q11" i="22"/>
  <c r="X15" i="22"/>
  <c r="Q15" i="22"/>
  <c r="X10" i="22"/>
  <c r="T10" i="22"/>
  <c r="X16" i="22"/>
  <c r="Q16" i="22"/>
  <c r="X34" i="22"/>
  <c r="W34" i="22"/>
  <c r="N101" i="22"/>
  <c r="N105" i="22"/>
  <c r="N104" i="22" s="1"/>
  <c r="N93" i="22"/>
  <c r="N67" i="22"/>
  <c r="N98" i="22" l="1"/>
  <c r="N64" i="22"/>
  <c r="N103" i="22" s="1"/>
  <c r="N108" i="22" l="1"/>
  <c r="N119" i="22" s="1"/>
  <c r="N71" i="22"/>
  <c r="X80" i="22"/>
  <c r="Q85" i="22" l="1"/>
  <c r="T51" i="22"/>
  <c r="Q51" i="22"/>
  <c r="F66" i="22"/>
  <c r="U66" i="22" s="1"/>
  <c r="R68" i="22"/>
  <c r="O68" i="22"/>
  <c r="G68" i="22"/>
  <c r="F68" i="22" s="1"/>
  <c r="U68" i="22" s="1"/>
  <c r="D68" i="22"/>
  <c r="X54" i="22"/>
  <c r="R66" i="22" l="1"/>
  <c r="T66" i="22" s="1"/>
  <c r="R90" i="22"/>
  <c r="R94" i="22" s="1"/>
  <c r="R93" i="22" s="1"/>
  <c r="R73" i="22"/>
  <c r="R82" i="22" l="1"/>
  <c r="S10" i="22"/>
  <c r="R88" i="22"/>
  <c r="R105" i="22"/>
  <c r="P10" i="22"/>
  <c r="R98" i="22" l="1"/>
  <c r="D35" i="22" l="1"/>
  <c r="W10" i="22"/>
  <c r="O9" i="22"/>
  <c r="G9" i="22"/>
  <c r="F9" i="22" s="1"/>
  <c r="D9" i="22"/>
  <c r="R9" i="22" l="1"/>
  <c r="E35" i="22"/>
  <c r="R35" i="22" s="1"/>
  <c r="P34" i="22"/>
  <c r="Q34" i="22"/>
  <c r="T34" i="22"/>
  <c r="S34" i="22"/>
  <c r="U9" i="22" l="1"/>
  <c r="V94" i="22"/>
  <c r="V93" i="22" s="1"/>
  <c r="V82" i="22"/>
  <c r="V73" i="22"/>
  <c r="V88" i="22" s="1"/>
  <c r="V66" i="22"/>
  <c r="V35" i="22"/>
  <c r="V21" i="22"/>
  <c r="V14" i="22"/>
  <c r="V48" i="22" l="1"/>
  <c r="V101" i="22" s="1"/>
  <c r="V98" i="22"/>
  <c r="V105" i="22"/>
  <c r="V106" i="22"/>
  <c r="V64" i="22"/>
  <c r="V104" i="22" l="1"/>
  <c r="V103" i="22"/>
  <c r="V108" i="22" s="1"/>
  <c r="V71" i="22"/>
  <c r="O21" i="22"/>
  <c r="G21" i="22"/>
  <c r="F21" i="22" s="1"/>
  <c r="O94" i="22"/>
  <c r="O93" i="22" s="1"/>
  <c r="G94" i="22"/>
  <c r="Q66" i="22"/>
  <c r="G57" i="22"/>
  <c r="F57" i="22" s="1"/>
  <c r="E57" i="22"/>
  <c r="E69" i="22" l="1"/>
  <c r="E67" i="22" s="1"/>
  <c r="E64" i="22" s="1"/>
  <c r="R57" i="22"/>
  <c r="R69" i="22" s="1"/>
  <c r="R106" i="22" s="1"/>
  <c r="R104" i="22" s="1"/>
  <c r="X57" i="22"/>
  <c r="U57" i="22"/>
  <c r="G93" i="22"/>
  <c r="F93" i="22" s="1"/>
  <c r="F94" i="22"/>
  <c r="O69" i="22"/>
  <c r="W56" i="22"/>
  <c r="G69" i="22"/>
  <c r="F69" i="22" s="1"/>
  <c r="G105" i="22"/>
  <c r="F105" i="22" s="1"/>
  <c r="P56" i="22"/>
  <c r="S56" i="22"/>
  <c r="O105" i="22"/>
  <c r="U69" i="22" l="1"/>
  <c r="R67" i="22"/>
  <c r="R64" i="22" s="1"/>
  <c r="R103" i="22" s="1"/>
  <c r="D57" i="22"/>
  <c r="D69" i="22" s="1"/>
  <c r="D21" i="22" l="1"/>
  <c r="E21" i="22" l="1"/>
  <c r="R21" i="22" s="1"/>
  <c r="O67" i="22"/>
  <c r="O64" i="22" s="1"/>
  <c r="O103" i="22" s="1"/>
  <c r="O106" i="22"/>
  <c r="O104" i="22" s="1"/>
  <c r="G67" i="22"/>
  <c r="G106" i="22"/>
  <c r="U21" i="22" l="1"/>
  <c r="G104" i="22"/>
  <c r="F104" i="22" s="1"/>
  <c r="F106" i="22"/>
  <c r="G64" i="22"/>
  <c r="F67" i="22"/>
  <c r="U67" i="22" s="1"/>
  <c r="Z98" i="22"/>
  <c r="Y21" i="22"/>
  <c r="G103" i="22" l="1"/>
  <c r="F103" i="22" s="1"/>
  <c r="F64" i="22"/>
  <c r="U64" i="22" s="1"/>
  <c r="D94" i="22"/>
  <c r="O82" i="22"/>
  <c r="G82" i="22"/>
  <c r="F82" i="22" s="1"/>
  <c r="D82" i="22"/>
  <c r="A80" i="22"/>
  <c r="A81" i="22" s="1"/>
  <c r="A82" i="22" s="1"/>
  <c r="X75" i="22"/>
  <c r="O73" i="22"/>
  <c r="O88" i="22" s="1"/>
  <c r="G73" i="22"/>
  <c r="F73" i="22" s="1"/>
  <c r="D73" i="22"/>
  <c r="D88" i="22" s="1"/>
  <c r="R121" i="22" s="1"/>
  <c r="Z57" i="22"/>
  <c r="A41" i="22"/>
  <c r="A42" i="22" s="1"/>
  <c r="A43" i="22" s="1"/>
  <c r="A44" i="22" s="1"/>
  <c r="A45" i="22" s="1"/>
  <c r="A46" i="22" s="1"/>
  <c r="A47" i="22" s="1"/>
  <c r="O35" i="22"/>
  <c r="O48" i="22" s="1"/>
  <c r="G35" i="22"/>
  <c r="A28" i="22"/>
  <c r="A29" i="22" s="1"/>
  <c r="A30" i="22" s="1"/>
  <c r="A31" i="22" s="1"/>
  <c r="A32" i="22" s="1"/>
  <c r="A33" i="22" s="1"/>
  <c r="A34" i="22" s="1"/>
  <c r="A35" i="22" s="1"/>
  <c r="G14" i="22"/>
  <c r="F14" i="22" s="1"/>
  <c r="D14" i="22"/>
  <c r="AA8" i="22"/>
  <c r="AB8" i="22" s="1"/>
  <c r="A8" i="22"/>
  <c r="AB7" i="22"/>
  <c r="AA7" i="22"/>
  <c r="C5" i="22"/>
  <c r="D5" i="22" s="1"/>
  <c r="F5" i="22" s="1"/>
  <c r="G5" i="22" s="1"/>
  <c r="D93" i="22" l="1"/>
  <c r="D98" i="22" s="1"/>
  <c r="E94" i="22"/>
  <c r="U14" i="22"/>
  <c r="H5" i="22"/>
  <c r="F35" i="22"/>
  <c r="U35" i="22" s="1"/>
  <c r="Q30" i="22"/>
  <c r="X36" i="22"/>
  <c r="Y36" i="22" s="1"/>
  <c r="Q41" i="22"/>
  <c r="X8" i="22"/>
  <c r="Q26" i="22"/>
  <c r="W42" i="22"/>
  <c r="W58" i="22"/>
  <c r="P77" i="22"/>
  <c r="G48" i="22"/>
  <c r="F48" i="22" s="1"/>
  <c r="P40" i="22"/>
  <c r="Q53" i="22"/>
  <c r="W74" i="22"/>
  <c r="P85" i="22"/>
  <c r="X24" i="22"/>
  <c r="Y24" i="22" s="1"/>
  <c r="Q13" i="22"/>
  <c r="Q38" i="22"/>
  <c r="W43" i="22"/>
  <c r="Q49" i="22"/>
  <c r="P59" i="22"/>
  <c r="P54" i="22"/>
  <c r="P86" i="22"/>
  <c r="D48" i="22"/>
  <c r="R119" i="22" s="1"/>
  <c r="Q27" i="22"/>
  <c r="X33" i="22"/>
  <c r="P51" i="22"/>
  <c r="W60" i="22"/>
  <c r="P80" i="22"/>
  <c r="D105" i="22"/>
  <c r="S77" i="22"/>
  <c r="O98" i="22"/>
  <c r="S7" i="22"/>
  <c r="P7" i="22"/>
  <c r="T90" i="22"/>
  <c r="P9" i="22"/>
  <c r="T83" i="22"/>
  <c r="S40" i="22"/>
  <c r="P75" i="22"/>
  <c r="S75" i="22"/>
  <c r="W75" i="22"/>
  <c r="S85" i="22"/>
  <c r="S87" i="22"/>
  <c r="Q24" i="22"/>
  <c r="X77" i="22"/>
  <c r="T25" i="22"/>
  <c r="T46" i="22"/>
  <c r="X49" i="22"/>
  <c r="T7" i="22"/>
  <c r="W24" i="22"/>
  <c r="AA26" i="22"/>
  <c r="T33" i="22"/>
  <c r="S13" i="22"/>
  <c r="S24" i="22"/>
  <c r="Q25" i="22"/>
  <c r="X74" i="22"/>
  <c r="Q77" i="22"/>
  <c r="P24" i="22"/>
  <c r="S27" i="22"/>
  <c r="S30" i="22"/>
  <c r="W77" i="22"/>
  <c r="S51" i="22"/>
  <c r="P58" i="22"/>
  <c r="X40" i="22"/>
  <c r="T43" i="22"/>
  <c r="W53" i="22"/>
  <c r="Q58" i="22"/>
  <c r="P13" i="22"/>
  <c r="S31" i="22"/>
  <c r="S58" i="22"/>
  <c r="W13" i="22"/>
  <c r="X26" i="22"/>
  <c r="T29" i="22"/>
  <c r="T38" i="22"/>
  <c r="Q40" i="22"/>
  <c r="P28" i="22"/>
  <c r="X28" i="22"/>
  <c r="P37" i="22"/>
  <c r="S39" i="22"/>
  <c r="P42" i="22"/>
  <c r="X53" i="22"/>
  <c r="S12" i="22"/>
  <c r="P36" i="22"/>
  <c r="P26" i="22"/>
  <c r="Q36" i="22"/>
  <c r="P44" i="22"/>
  <c r="T58" i="22"/>
  <c r="S59" i="22"/>
  <c r="S28" i="22"/>
  <c r="T31" i="22"/>
  <c r="T36" i="22"/>
  <c r="S37" i="22"/>
  <c r="X41" i="22"/>
  <c r="Y41" i="22" s="1"/>
  <c r="T44" i="22"/>
  <c r="S53" i="22"/>
  <c r="T59" i="22"/>
  <c r="E73" i="22"/>
  <c r="E88" i="22" s="1"/>
  <c r="P83" i="22"/>
  <c r="T85" i="22"/>
  <c r="S86" i="22"/>
  <c r="P53" i="22"/>
  <c r="W41" i="22"/>
  <c r="T47" i="22"/>
  <c r="T22" i="22"/>
  <c r="Z21" i="22"/>
  <c r="T26" i="22"/>
  <c r="T28" i="22"/>
  <c r="S33" i="22"/>
  <c r="T37" i="22"/>
  <c r="S42" i="22"/>
  <c r="T53" i="22"/>
  <c r="W85" i="22"/>
  <c r="W37" i="22"/>
  <c r="W28" i="22"/>
  <c r="X37" i="22"/>
  <c r="Y37" i="22" s="1"/>
  <c r="P41" i="22"/>
  <c r="S17" i="22"/>
  <c r="T23" i="22"/>
  <c r="Q28" i="22"/>
  <c r="Q37" i="22"/>
  <c r="W83" i="22"/>
  <c r="P87" i="22"/>
  <c r="S11" i="22"/>
  <c r="T11" i="22"/>
  <c r="AC48" i="22"/>
  <c r="P14" i="22"/>
  <c r="X14" i="22"/>
  <c r="W14" i="22"/>
  <c r="Q14" i="22"/>
  <c r="S41" i="22"/>
  <c r="T41" i="22"/>
  <c r="T16" i="22"/>
  <c r="S16" i="22"/>
  <c r="X82" i="22"/>
  <c r="Q82" i="22"/>
  <c r="P82" i="22"/>
  <c r="W82" i="22"/>
  <c r="T45" i="22"/>
  <c r="P21" i="22"/>
  <c r="W21" i="22"/>
  <c r="Q21" i="22"/>
  <c r="X21" i="22"/>
  <c r="S15" i="22"/>
  <c r="T15" i="22"/>
  <c r="Z48" i="22"/>
  <c r="AA46" i="22"/>
  <c r="X32" i="22"/>
  <c r="W12" i="22"/>
  <c r="W17" i="22"/>
  <c r="W7" i="22"/>
  <c r="Q12" i="22"/>
  <c r="X12" i="22"/>
  <c r="X31" i="22"/>
  <c r="S38" i="22"/>
  <c r="X7" i="22"/>
  <c r="P8" i="22"/>
  <c r="W8" i="22"/>
  <c r="P11" i="22"/>
  <c r="W11" i="22"/>
  <c r="T13" i="22"/>
  <c r="W15" i="22"/>
  <c r="P16" i="22"/>
  <c r="W23" i="22"/>
  <c r="AA24" i="22"/>
  <c r="Q31" i="22"/>
  <c r="S32" i="22"/>
  <c r="P33" i="22"/>
  <c r="Q39" i="22"/>
  <c r="P43" i="22"/>
  <c r="S46" i="22"/>
  <c r="W46" i="22"/>
  <c r="P47" i="22"/>
  <c r="S60" i="22"/>
  <c r="T60" i="22"/>
  <c r="P60" i="22"/>
  <c r="S81" i="22"/>
  <c r="P81" i="22"/>
  <c r="W81" i="22"/>
  <c r="T12" i="22"/>
  <c r="T17" i="22"/>
  <c r="Q23" i="22"/>
  <c r="T24" i="22"/>
  <c r="S26" i="22"/>
  <c r="W26" i="22"/>
  <c r="W29" i="22"/>
  <c r="P29" i="22"/>
  <c r="W38" i="22"/>
  <c r="P38" i="22"/>
  <c r="X38" i="22"/>
  <c r="T39" i="22"/>
  <c r="S43" i="22"/>
  <c r="S47" i="22"/>
  <c r="S54" i="22"/>
  <c r="T77" i="22"/>
  <c r="W32" i="22"/>
  <c r="P32" i="22"/>
  <c r="P12" i="22"/>
  <c r="X22" i="22"/>
  <c r="Q22" i="22"/>
  <c r="P30" i="22"/>
  <c r="Q32" i="22"/>
  <c r="W39" i="22"/>
  <c r="S44" i="22"/>
  <c r="X45" i="22"/>
  <c r="Q45" i="22"/>
  <c r="W45" i="22"/>
  <c r="W54" i="22"/>
  <c r="W84" i="22"/>
  <c r="S84" i="22"/>
  <c r="P84" i="22"/>
  <c r="S25" i="22"/>
  <c r="X17" i="22"/>
  <c r="P22" i="22"/>
  <c r="S66" i="22"/>
  <c r="W66" i="22"/>
  <c r="P66" i="22"/>
  <c r="W30" i="22"/>
  <c r="P17" i="22"/>
  <c r="Q17" i="22"/>
  <c r="S21" i="22"/>
  <c r="S29" i="22"/>
  <c r="X39" i="22"/>
  <c r="P45" i="22"/>
  <c r="Q7" i="22"/>
  <c r="W16" i="22"/>
  <c r="W22" i="22"/>
  <c r="W31" i="22"/>
  <c r="P31" i="22"/>
  <c r="P39" i="22"/>
  <c r="W47" i="22"/>
  <c r="T54" i="22"/>
  <c r="Q54" i="22"/>
  <c r="P15" i="22"/>
  <c r="T27" i="22"/>
  <c r="W27" i="22"/>
  <c r="W33" i="22"/>
  <c r="S74" i="22"/>
  <c r="P74" i="22"/>
  <c r="Q74" i="22"/>
  <c r="Q8" i="22"/>
  <c r="S22" i="22"/>
  <c r="P23" i="22"/>
  <c r="X23" i="22"/>
  <c r="W25" i="22"/>
  <c r="P25" i="22"/>
  <c r="X25" i="22"/>
  <c r="P27" i="22"/>
  <c r="Y27" i="22"/>
  <c r="T30" i="22"/>
  <c r="T32" i="22"/>
  <c r="Q33" i="22"/>
  <c r="W36" i="22"/>
  <c r="T40" i="22"/>
  <c r="W40" i="22"/>
  <c r="X44" i="22"/>
  <c r="Q44" i="22"/>
  <c r="W44" i="22"/>
  <c r="S45" i="22"/>
  <c r="P46" i="22"/>
  <c r="W49" i="22"/>
  <c r="P49" i="22"/>
  <c r="W51" i="22"/>
  <c r="Q60" i="22"/>
  <c r="T74" i="22"/>
  <c r="W79" i="22"/>
  <c r="P79" i="22"/>
  <c r="S79" i="22"/>
  <c r="T79" i="22"/>
  <c r="X84" i="22"/>
  <c r="T82" i="22"/>
  <c r="S83" i="22"/>
  <c r="X86" i="22"/>
  <c r="Q86" i="22"/>
  <c r="T86" i="22"/>
  <c r="W86" i="22"/>
  <c r="G88" i="22"/>
  <c r="U82" i="22"/>
  <c r="Q59" i="22"/>
  <c r="W59" i="22"/>
  <c r="E105" i="22"/>
  <c r="U105" i="22" s="1"/>
  <c r="Q80" i="22"/>
  <c r="W80" i="22"/>
  <c r="S90" i="22"/>
  <c r="W90" i="22"/>
  <c r="P90" i="22"/>
  <c r="X87" i="22"/>
  <c r="Q87" i="22"/>
  <c r="T87" i="22"/>
  <c r="W87" i="22"/>
  <c r="R14" i="22" l="1"/>
  <c r="R48" i="22" s="1"/>
  <c r="E48" i="22"/>
  <c r="E93" i="22"/>
  <c r="U93" i="22" s="1"/>
  <c r="U94" i="22"/>
  <c r="U73" i="22"/>
  <c r="I5" i="22"/>
  <c r="P35" i="22"/>
  <c r="W35" i="22"/>
  <c r="Q35" i="22"/>
  <c r="X35" i="22"/>
  <c r="S35" i="22"/>
  <c r="D101" i="22"/>
  <c r="G98" i="22"/>
  <c r="F88" i="22"/>
  <c r="U88" i="22" s="1"/>
  <c r="G71" i="22"/>
  <c r="F71" i="22" s="1"/>
  <c r="X9" i="22"/>
  <c r="S9" i="22"/>
  <c r="W9" i="22"/>
  <c r="G101" i="22"/>
  <c r="Q9" i="22"/>
  <c r="O71" i="22"/>
  <c r="O101" i="22"/>
  <c r="O108" i="22" s="1"/>
  <c r="O119" i="22" s="1"/>
  <c r="S23" i="22"/>
  <c r="T35" i="22"/>
  <c r="S36" i="22"/>
  <c r="P94" i="22"/>
  <c r="S94" i="22"/>
  <c r="W94" i="22"/>
  <c r="T94" i="22"/>
  <c r="D106" i="22"/>
  <c r="D104" i="22" s="1"/>
  <c r="D67" i="22"/>
  <c r="D64" i="22" s="1"/>
  <c r="T61" i="22"/>
  <c r="P61" i="22"/>
  <c r="S61" i="22"/>
  <c r="Q61" i="22"/>
  <c r="W61" i="22"/>
  <c r="T21" i="22"/>
  <c r="T9" i="22"/>
  <c r="S82" i="22"/>
  <c r="Z71" i="22"/>
  <c r="Q57" i="22"/>
  <c r="T57" i="22"/>
  <c r="W57" i="22"/>
  <c r="P57" i="22"/>
  <c r="S57" i="22"/>
  <c r="T68" i="22"/>
  <c r="S68" i="22"/>
  <c r="Q68" i="22"/>
  <c r="P68" i="22"/>
  <c r="W68" i="22"/>
  <c r="X68" i="22"/>
  <c r="W48" i="22"/>
  <c r="P48" i="22"/>
  <c r="Z46" i="22"/>
  <c r="AB46" i="22" s="1"/>
  <c r="X48" i="22"/>
  <c r="Q48" i="22"/>
  <c r="Z108" i="22"/>
  <c r="S8" i="22"/>
  <c r="T8" i="22"/>
  <c r="W73" i="22"/>
  <c r="Q73" i="22"/>
  <c r="T73" i="22"/>
  <c r="X73" i="22"/>
  <c r="P73" i="22"/>
  <c r="S73" i="22"/>
  <c r="S95" i="22"/>
  <c r="S80" i="22"/>
  <c r="T80" i="22"/>
  <c r="E71" i="22" l="1"/>
  <c r="U71" i="22" s="1"/>
  <c r="T14" i="22"/>
  <c r="S14" i="22"/>
  <c r="R120" i="22"/>
  <c r="U48" i="22"/>
  <c r="J5" i="22"/>
  <c r="K5" i="22" s="1"/>
  <c r="L5" i="22" s="1"/>
  <c r="M5" i="22" s="1"/>
  <c r="N5" i="22" s="1"/>
  <c r="G108" i="22"/>
  <c r="F101" i="22"/>
  <c r="F98" i="22"/>
  <c r="Q88" i="22"/>
  <c r="Q93" i="22"/>
  <c r="R123" i="22"/>
  <c r="R124" i="22" s="1"/>
  <c r="R122" i="22"/>
  <c r="W95" i="22"/>
  <c r="P95" i="22"/>
  <c r="S105" i="22"/>
  <c r="P105" i="22"/>
  <c r="T105" i="22"/>
  <c r="X105" i="22"/>
  <c r="W105" i="22"/>
  <c r="Q105" i="22"/>
  <c r="D103" i="22"/>
  <c r="D108" i="22" s="1"/>
  <c r="D119" i="22" s="1"/>
  <c r="D71" i="22"/>
  <c r="E101" i="22"/>
  <c r="P93" i="22"/>
  <c r="S93" i="22"/>
  <c r="T93" i="22"/>
  <c r="W93" i="22"/>
  <c r="X88" i="22"/>
  <c r="P88" i="22"/>
  <c r="S88" i="22"/>
  <c r="W88" i="22"/>
  <c r="T88" i="22"/>
  <c r="T48" i="22" l="1"/>
  <c r="R71" i="22"/>
  <c r="R101" i="22"/>
  <c r="T101" i="22" s="1"/>
  <c r="S48" i="22"/>
  <c r="P5" i="22"/>
  <c r="Q5" i="22" s="1"/>
  <c r="R5" i="22" s="1"/>
  <c r="S5" i="22" s="1"/>
  <c r="T5" i="22" s="1"/>
  <c r="V5" i="22" s="1"/>
  <c r="W5" i="22" s="1"/>
  <c r="X5" i="22" s="1"/>
  <c r="U101" i="22"/>
  <c r="F108" i="22"/>
  <c r="G119" i="22"/>
  <c r="P101" i="22"/>
  <c r="W101" i="22"/>
  <c r="X101" i="22"/>
  <c r="Q101" i="22"/>
  <c r="E106" i="22"/>
  <c r="S106" i="22"/>
  <c r="P106" i="22"/>
  <c r="W106" i="22"/>
  <c r="X106" i="22"/>
  <c r="Q106" i="22"/>
  <c r="T106" i="22"/>
  <c r="T69" i="22"/>
  <c r="W69" i="22"/>
  <c r="P69" i="22"/>
  <c r="S69" i="22"/>
  <c r="X69" i="22"/>
  <c r="Q69" i="22"/>
  <c r="S101" i="22" l="1"/>
  <c r="R108" i="22"/>
  <c r="E104" i="22"/>
  <c r="U104" i="22" s="1"/>
  <c r="U106" i="22"/>
  <c r="T67" i="22"/>
  <c r="X67" i="22"/>
  <c r="Q67" i="22"/>
  <c r="W67" i="22"/>
  <c r="S67" i="22"/>
  <c r="P67" i="22"/>
  <c r="E103" i="22"/>
  <c r="E98" i="22"/>
  <c r="X98" i="22"/>
  <c r="Q98" i="22"/>
  <c r="S98" i="22"/>
  <c r="W98" i="22"/>
  <c r="P98" i="22"/>
  <c r="T98" i="22"/>
  <c r="S104" i="22"/>
  <c r="P104" i="22"/>
  <c r="X104" i="22"/>
  <c r="Q104" i="22"/>
  <c r="T104" i="22"/>
  <c r="W104" i="22"/>
  <c r="U98" i="22" l="1"/>
  <c r="E108" i="22"/>
  <c r="U103" i="22"/>
  <c r="Q64" i="22"/>
  <c r="W64" i="22"/>
  <c r="X64" i="22"/>
  <c r="S64" i="22"/>
  <c r="T64" i="22"/>
  <c r="P64" i="22"/>
  <c r="S103" i="22"/>
  <c r="P103" i="22"/>
  <c r="W103" i="22"/>
  <c r="Q103" i="22"/>
  <c r="T103" i="22"/>
  <c r="X103" i="22"/>
  <c r="E119" i="22" l="1"/>
  <c r="U108" i="22"/>
  <c r="S108" i="22"/>
  <c r="P108" i="22"/>
  <c r="W108" i="22"/>
  <c r="F119" i="22"/>
  <c r="X108" i="22"/>
  <c r="T108" i="22"/>
  <c r="Q108" i="22"/>
  <c r="S71" i="22"/>
  <c r="Q71" i="22"/>
  <c r="T71" i="22"/>
  <c r="X71" i="22"/>
  <c r="W71" i="22"/>
  <c r="P71" i="22"/>
</calcChain>
</file>

<file path=xl/sharedStrings.xml><?xml version="1.0" encoding="utf-8"?>
<sst xmlns="http://schemas.openxmlformats.org/spreadsheetml/2006/main" count="221" uniqueCount="205">
  <si>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</si>
  <si>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</si>
  <si>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</si>
  <si>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</si>
  <si>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</si>
  <si>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</si>
  <si>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</si>
  <si>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</si>
  <si>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</si>
  <si>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</si>
  <si>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</si>
  <si>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</si>
  <si>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</si>
  <si>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</si>
  <si>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</si>
  <si>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</si>
  <si>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</si>
  <si>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</si>
  <si>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</si>
  <si>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</si>
  <si>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</si>
  <si>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</si>
  <si>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</si>
  <si>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</si>
  <si>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</si>
  <si>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</si>
  <si>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</si>
  <si>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</si>
  <si>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</si>
  <si>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</si>
  <si>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</si>
  <si>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</si>
  <si>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</si>
  <si>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</si>
  <si>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</si>
  <si>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</si>
  <si>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</si>
  <si>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</si>
  <si>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</si>
  <si>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</si>
  <si>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</si>
  <si>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</si>
  <si>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</si>
  <si>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</si>
  <si>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</si>
  <si>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</si>
  <si>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</si>
  <si>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</si>
  <si>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</si>
  <si>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</si>
  <si>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</si>
  <si>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</si>
  <si>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</si>
  <si>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</si>
  <si>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</si>
  <si>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</si>
  <si>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</si>
  <si>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</si>
  <si>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</si>
  <si>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</si>
  <si>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</si>
  <si>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</si>
  <si>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</si>
  <si>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</si>
  <si>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</si>
  <si>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</si>
  <si>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</si>
  <si>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</si>
  <si>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</si>
  <si>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</si>
  <si>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</si>
  <si>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</si>
  <si>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</si>
  <si>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</si>
  <si>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</si>
  <si>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</si>
  <si>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</si>
  <si>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</si>
  <si>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</si>
  <si>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</si>
  <si>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</si>
  <si>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</si>
  <si>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</si>
  <si>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</si>
  <si>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</si>
  <si>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</si>
  <si>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</si>
  <si>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</si>
  <si>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</si>
  <si>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</si>
  <si>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</si>
  <si>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</si>
  <si>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</si>
  <si>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</si>
  <si>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</si>
  <si>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</si>
  <si>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</si>
  <si>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</si>
  <si>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</si>
  <si>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</si>
  <si>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</si>
  <si>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</si>
  <si>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</si>
  <si>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</si>
  <si>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</si>
  <si>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</si>
  <si>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</si>
  <si>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</si>
  <si>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</si>
  <si>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</si>
  <si>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</si>
  <si>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</si>
  <si>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</si>
  <si>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</si>
  <si>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</si>
  <si>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</si>
  <si>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</si>
  <si>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</si>
  <si>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</si>
  <si>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</si>
  <si>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</si>
  <si>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</si>
  <si>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</si>
  <si>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</si>
  <si>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</si>
  <si>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</si>
  <si>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</si>
  <si>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</si>
  <si>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</si>
  <si>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</si>
  <si>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</si>
  <si>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</si>
  <si>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</si>
  <si>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</si>
  <si>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</si>
  <si>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</si>
  <si>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</si>
  <si>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</si>
  <si>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</si>
  <si>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</si>
  <si>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</si>
  <si>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</si>
  <si>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</si>
  <si>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</si>
  <si>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</si>
  <si>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</si>
  <si>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</si>
  <si>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Бюджет 
на 2022 рік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</si>
  <si>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</si>
  <si>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</si>
  <si>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</si>
  <si>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</si>
  <si>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</si>
  <si>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</si>
  <si>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</si>
  <si>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Всього власних доходів</t>
  </si>
  <si>
    <t>лютий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</si>
  <si>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</si>
  <si>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</si>
  <si>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</si>
  <si>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</si>
  <si>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</si>
  <si>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</si>
  <si>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</si>
  <si>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</si>
  <si>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</si>
  <si>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</si>
  <si>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t>6.5.</t>
  </si>
  <si>
    <t>15.1.</t>
  </si>
  <si>
    <t>15.2.</t>
  </si>
  <si>
    <t>15.3.</t>
  </si>
  <si>
    <t>15.4.</t>
  </si>
  <si>
    <t>березень</t>
  </si>
  <si>
    <r>
      <t xml:space="preserve">*субвенція з обласного бюджету на компенсаційні виплати </t>
    </r>
    <r>
      <rPr>
        <b/>
        <i/>
        <u/>
        <sz val="14"/>
        <rFont val="Times New Roman Cyr"/>
        <charset val="204"/>
      </rPr>
      <t>за пільговий проїзд окремих категорій громадян на міжміських внутрішньообласних маршрутах</t>
    </r>
    <r>
      <rPr>
        <i/>
        <sz val="14"/>
        <rFont val="Times New Roman Cyr"/>
        <charset val="204"/>
      </rPr>
      <t xml:space="preserve"> загального користування</t>
    </r>
  </si>
  <si>
    <t>квітень</t>
  </si>
  <si>
    <t>травень</t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</si>
  <si>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здійснення заходів щодо соціально-економічного розвитку</t>
    </r>
    <r>
      <rPr>
        <sz val="15"/>
        <rFont val="Times New Roman"/>
        <family val="1"/>
        <charset val="204"/>
      </rPr>
      <t xml:space="preserve"> окремих територій</t>
    </r>
  </si>
  <si>
    <t>41034500</t>
  </si>
  <si>
    <r>
      <t xml:space="preserve">*субвенція з </t>
    </r>
    <r>
      <rPr>
        <b/>
        <i/>
        <u/>
        <sz val="15"/>
        <rFont val="Times New Roman Cyr"/>
        <charset val="204"/>
      </rPr>
      <t xml:space="preserve">бюджету Вороновицької </t>
    </r>
    <r>
      <rPr>
        <i/>
        <sz val="15"/>
        <rFont val="Times New Roman Cyr"/>
        <charset val="204"/>
      </rPr>
      <t xml:space="preserve">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</t>
    </r>
    <r>
      <rPr>
        <b/>
        <i/>
        <u/>
        <sz val="15"/>
        <rFont val="Times New Roman Cyr"/>
        <charset val="204"/>
      </rPr>
      <t>КНП «Вінницька клінічна багатопрофільна лікарня» Вінницької міської ради,</t>
    </r>
    <r>
      <rPr>
        <i/>
        <sz val="15"/>
        <rFont val="Times New Roman Cyr"/>
        <charset val="204"/>
      </rPr>
      <t xml:space="preserve"> яка знаходиться за адресою: Вінницька область, смт Вороновиця, вул. Гагаріна, буд.20</t>
    </r>
  </si>
  <si>
    <t>Уточнений бюджет на 2022 рік</t>
  </si>
  <si>
    <t>червень</t>
  </si>
  <si>
    <t>липень</t>
  </si>
  <si>
    <t>8.5.</t>
  </si>
  <si>
    <t>8.6.</t>
  </si>
  <si>
    <r>
      <rPr>
        <b/>
        <u/>
        <sz val="15"/>
        <rFont val="Times New Roman"/>
        <family val="1"/>
        <charset val="204"/>
      </rPr>
      <t>Інші дотації</t>
    </r>
    <r>
      <rPr>
        <sz val="15"/>
        <rFont val="Times New Roman"/>
        <family val="1"/>
        <charset val="204"/>
      </rPr>
      <t xml:space="preserve"> з місцевого бюджету</t>
    </r>
  </si>
  <si>
    <t>серпень</t>
  </si>
  <si>
    <t>Надійшло за січень - серпень 2022р.</t>
  </si>
  <si>
    <t>План на січень - серпень 2022 року</t>
  </si>
  <si>
    <t>Відхилення надходжень до бюджету на січень - серпень 2022 року</t>
  </si>
  <si>
    <t>План на січень - серпень 2022р. (розрахунковий)</t>
  </si>
  <si>
    <t xml:space="preserve">Відхилення надходжень до бюджету на січень - серпень 2022 року (розрахунковий) </t>
  </si>
  <si>
    <t>Надійшло за січень - серпень 2021р.</t>
  </si>
  <si>
    <t>Відхилення факту січня - серпня 2022р. від факту січня - серпня 2021р.</t>
  </si>
  <si>
    <t>% виконання до плану на 2022р. (норма 66,7%)</t>
  </si>
  <si>
    <t>14040100</t>
  </si>
  <si>
    <t>14040200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</si>
  <si>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</si>
  <si>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</si>
  <si>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4.3.1.</t>
  </si>
  <si>
    <t>4.3.2.</t>
  </si>
  <si>
    <r>
      <t xml:space="preserve">Субвенція з місцевого бюджету на забезпечення якісної, сучасної та доступної загальної середньої освіти </t>
    </r>
    <r>
      <rPr>
        <b/>
        <u/>
        <sz val="15"/>
        <rFont val="Times New Roman"/>
        <family val="1"/>
        <charset val="204"/>
      </rPr>
      <t>"Нова українська школа"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</si>
  <si>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t>41051400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</si>
  <si>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фінансове забезпечення будівництва, реконструкції, ремонту і утримання автомобільних доріг</t>
    </r>
    <r>
      <rPr>
        <sz val="15"/>
        <rFont val="Times New Roman"/>
        <family val="1"/>
        <charset val="204"/>
      </rPr>
      <t xml:space="preserve">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  </r>
  </si>
  <si>
    <t>41052600</t>
  </si>
  <si>
    <t>Аналіз виконання бюджету Вінницької міської територіальної громади за січень - серпень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</si>
</sst>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5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vertical="center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8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5" fillId="2" borderId="1" xfId="1" applyFont="1" applyFill="1" applyBorder="1" applyAlignment="1">
      <alignment horizontal="center" vertical="center"/>
    </xf>
    <xf numFmtId="0" fontId="46" fillId="2" borderId="1" xfId="1" applyFont="1" applyFill="1" applyBorder="1" applyAlignment="1">
      <alignment horizontal="center" vertical="center" wrapText="1"/>
    </xf>
    <xf numFmtId="165" fontId="46" fillId="2" borderId="1" xfId="1" applyNumberFormat="1" applyFont="1" applyFill="1" applyBorder="1" applyAlignment="1">
      <alignment horizontal="center" vertical="center" wrapText="1"/>
    </xf>
    <xf numFmtId="166" fontId="46" fillId="2" borderId="1" xfId="1" applyNumberFormat="1" applyFont="1" applyFill="1" applyBorder="1" applyAlignment="1">
      <alignment horizontal="center" vertical="center" wrapText="1"/>
    </xf>
    <xf numFmtId="166" fontId="46" fillId="2" borderId="1" xfId="3" applyNumberFormat="1" applyFont="1" applyFill="1" applyBorder="1" applyAlignment="1">
      <alignment horizontal="center" vertical="center"/>
    </xf>
    <xf numFmtId="164" fontId="46" fillId="2" borderId="1" xfId="3" applyNumberFormat="1" applyFont="1" applyFill="1" applyBorder="1" applyAlignment="1">
      <alignment horizontal="center" vertical="center"/>
    </xf>
    <xf numFmtId="166" fontId="45" fillId="2" borderId="0" xfId="1" applyNumberFormat="1" applyFont="1" applyFill="1" applyBorder="1"/>
    <xf numFmtId="0" fontId="45" fillId="2" borderId="0" xfId="1" applyFont="1" applyFill="1" applyBorder="1"/>
    <xf numFmtId="49" fontId="46" fillId="2" borderId="1" xfId="1" applyNumberFormat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7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7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7" fontId="31" fillId="0" borderId="1" xfId="3" applyNumberFormat="1" applyFont="1" applyFill="1" applyBorder="1"/>
    <xf numFmtId="167" fontId="31" fillId="2" borderId="1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horizontal="center" vertic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2;&#1110;&#1076;&#1076;&#1110;&#1083;%20&#1076;&#1086;&#1093;&#1086;&#1076;&#1110;&#1074;%20&#1073;&#1102;&#1076;&#1078;&#1077;&#1090;&#1091;/&#1057;&#1077;&#1088;&#1074;&#1077;&#1090;&#1085;&#1080;&#1082;%20&#1052;&#1072;&#1082;&#1089;&#1080;&#1084;%20&#1052;&#1080;&#1082;&#1086;&#1083;&#1072;&#1081;&#1086;&#1074;&#1080;&#1095;/&#1040;&#1085;&#1072;&#1083;&#1110;&#1079;&#1080;/&#1065;&#1086;&#1084;&#1110;&#1089;&#1103;&#1095;&#1085;&#1110;/&#1040;&#1085;&#1072;&#1083;&#1110;&#1079;%202021%20&#1088;&#1110;&#1082;/03%20&#1040;&#1085;&#1072;&#1083;&#1110;&#1079;%20&#1079;&#1072;%203%20&#1084;&#1110;&#1089;&#1103;&#1094;&#1110;%202021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1 короткий"/>
    </sheetNames>
    <sheetDataSet>
      <sheetData sheetId="0">
        <row r="29">
          <cell r="I29">
            <v>893.96699999999998</v>
          </cell>
        </row>
        <row r="33">
          <cell r="I33">
            <v>2556.277</v>
          </cell>
        </row>
        <row r="38">
          <cell r="I38">
            <v>1008.902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showGridLines="0" tabSelected="1" view="pageBreakPreview" zoomScale="60" zoomScaleNormal="75" workbookViewId="0">
      <pane xSplit="3" ySplit="6" topLeftCell="E28" activePane="bottomRight" state="frozen"/>
      <selection pane="topRight" activeCell="D1" sqref="D1"/>
      <selection pane="bottomLeft" activeCell="A7" sqref="A7"/>
      <selection pane="bottomRight" activeCell="C39" sqref="C39"/>
    </sheetView>
  </sheetViews>
  <sheetFormatPr defaultRowHeight="12.75" x14ac:dyDescent="0.2"/>
  <cols>
    <col min="1" max="1" width="12.28515625" style="20" customWidth="1"/>
    <col min="2" max="2" width="93.140625" style="20" customWidth="1"/>
    <col min="3" max="3" width="16.140625" style="20" customWidth="1"/>
    <col min="4" max="4" width="23.5703125" style="20" hidden="1" customWidth="1"/>
    <col min="5" max="5" width="25.42578125" style="20" customWidth="1"/>
    <col min="6" max="6" width="23.140625" style="33" customWidth="1"/>
    <col min="7" max="14" width="21.28515625" style="3" hidden="1" customWidth="1"/>
    <col min="15" max="15" width="24" style="3" customWidth="1"/>
    <col min="16" max="16" width="22.5703125" style="1" customWidth="1"/>
    <col min="17" max="17" width="14.140625" style="1" bestFit="1" customWidth="1"/>
    <col min="18" max="18" width="23.85546875" style="1" hidden="1" customWidth="1"/>
    <col min="19" max="19" width="25.7109375" style="1" hidden="1" customWidth="1"/>
    <col min="20" max="20" width="14.7109375" style="1" hidden="1" customWidth="1"/>
    <col min="21" max="21" width="16.140625" style="1" customWidth="1"/>
    <col min="22" max="22" width="23.140625" style="33" customWidth="1"/>
    <col min="23" max="23" width="21.85546875" style="1" customWidth="1"/>
    <col min="24" max="24" width="14.7109375" style="3" bestFit="1" customWidth="1"/>
    <col min="25" max="25" width="24.140625" style="3" hidden="1" customWidth="1"/>
    <col min="26" max="26" width="19.140625" style="3" hidden="1" customWidth="1"/>
    <col min="27" max="27" width="15.85546875" style="3" hidden="1" customWidth="1"/>
    <col min="28" max="28" width="0" style="3" hidden="1" customWidth="1"/>
    <col min="29" max="29" width="24.140625" style="3" hidden="1" customWidth="1"/>
    <col min="30" max="30" width="0" style="3" hidden="1" customWidth="1"/>
    <col min="31" max="31" width="15.140625" style="3" hidden="1" customWidth="1"/>
    <col min="32" max="32" width="0" style="3" hidden="1" customWidth="1"/>
    <col min="33" max="16384" width="9.140625" style="3"/>
  </cols>
  <sheetData>
    <row r="1" spans="1:39" ht="30" customHeight="1" x14ac:dyDescent="0.2">
      <c r="A1" s="189" t="s">
        <v>204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39" ht="18.75" x14ac:dyDescent="0.3">
      <c r="A2" s="23" t="s">
        <v>47</v>
      </c>
      <c r="B2" s="18"/>
      <c r="C2" s="18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V2" s="105"/>
      <c r="W2" s="5" t="s">
        <v>13</v>
      </c>
      <c r="X2" s="5"/>
    </row>
    <row r="3" spans="1:39" s="72" customFormat="1" ht="15" customHeight="1" x14ac:dyDescent="0.25">
      <c r="A3" s="194" t="s">
        <v>0</v>
      </c>
      <c r="B3" s="193" t="s">
        <v>1</v>
      </c>
      <c r="C3" s="193" t="s">
        <v>2</v>
      </c>
      <c r="D3" s="184" t="s">
        <v>147</v>
      </c>
      <c r="E3" s="184" t="s">
        <v>179</v>
      </c>
      <c r="F3" s="188" t="s">
        <v>186</v>
      </c>
      <c r="G3" s="184" t="s">
        <v>62</v>
      </c>
      <c r="H3" s="184" t="s">
        <v>156</v>
      </c>
      <c r="I3" s="184" t="s">
        <v>172</v>
      </c>
      <c r="J3" s="184" t="s">
        <v>174</v>
      </c>
      <c r="K3" s="184" t="s">
        <v>175</v>
      </c>
      <c r="L3" s="184" t="s">
        <v>180</v>
      </c>
      <c r="M3" s="184" t="s">
        <v>181</v>
      </c>
      <c r="N3" s="184" t="s">
        <v>185</v>
      </c>
      <c r="O3" s="184" t="s">
        <v>187</v>
      </c>
      <c r="P3" s="184" t="s">
        <v>188</v>
      </c>
      <c r="Q3" s="184" t="s">
        <v>3</v>
      </c>
      <c r="R3" s="184" t="s">
        <v>189</v>
      </c>
      <c r="S3" s="184" t="s">
        <v>190</v>
      </c>
      <c r="T3" s="184" t="s">
        <v>3</v>
      </c>
      <c r="U3" s="187" t="s">
        <v>193</v>
      </c>
      <c r="V3" s="188" t="s">
        <v>191</v>
      </c>
      <c r="W3" s="184" t="s">
        <v>192</v>
      </c>
      <c r="X3" s="184" t="s">
        <v>3</v>
      </c>
    </row>
    <row r="4" spans="1:39" s="72" customFormat="1" ht="79.5" customHeight="1" x14ac:dyDescent="0.25">
      <c r="A4" s="194"/>
      <c r="B4" s="193"/>
      <c r="C4" s="193"/>
      <c r="D4" s="184"/>
      <c r="E4" s="184"/>
      <c r="F4" s="188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7"/>
      <c r="V4" s="188"/>
      <c r="W4" s="184"/>
      <c r="X4" s="184"/>
    </row>
    <row r="5" spans="1:39" s="77" customFormat="1" ht="20.25" x14ac:dyDescent="0.2">
      <c r="A5" s="73" t="s">
        <v>4</v>
      </c>
      <c r="B5" s="74" t="s">
        <v>5</v>
      </c>
      <c r="C5" s="74">
        <f>B5+1</f>
        <v>3</v>
      </c>
      <c r="D5" s="74">
        <f>C5+1</f>
        <v>4</v>
      </c>
      <c r="E5" s="74">
        <v>4</v>
      </c>
      <c r="F5" s="75">
        <f t="shared" ref="F5:G5" si="0">E5+1</f>
        <v>5</v>
      </c>
      <c r="G5" s="74">
        <f t="shared" si="0"/>
        <v>6</v>
      </c>
      <c r="H5" s="74">
        <f t="shared" ref="H5" si="1">G5+1</f>
        <v>7</v>
      </c>
      <c r="I5" s="74">
        <f t="shared" ref="I5" si="2">H5+1</f>
        <v>8</v>
      </c>
      <c r="J5" s="74">
        <f t="shared" ref="J5" si="3">I5+1</f>
        <v>9</v>
      </c>
      <c r="K5" s="74">
        <f t="shared" ref="K5" si="4">J5+1</f>
        <v>10</v>
      </c>
      <c r="L5" s="74">
        <f t="shared" ref="L5" si="5">K5+1</f>
        <v>11</v>
      </c>
      <c r="M5" s="74">
        <f t="shared" ref="M5" si="6">L5+1</f>
        <v>12</v>
      </c>
      <c r="N5" s="74">
        <f t="shared" ref="N5" si="7">M5+1</f>
        <v>13</v>
      </c>
      <c r="O5" s="74">
        <v>6</v>
      </c>
      <c r="P5" s="74">
        <f t="shared" ref="P5" si="8">O5+1</f>
        <v>7</v>
      </c>
      <c r="Q5" s="74">
        <f t="shared" ref="Q5" si="9">P5+1</f>
        <v>8</v>
      </c>
      <c r="R5" s="74">
        <f t="shared" ref="R5" si="10">Q5+1</f>
        <v>9</v>
      </c>
      <c r="S5" s="74">
        <f t="shared" ref="S5" si="11">R5+1</f>
        <v>10</v>
      </c>
      <c r="T5" s="74">
        <f t="shared" ref="T5" si="12">S5+1</f>
        <v>11</v>
      </c>
      <c r="U5" s="74">
        <v>9</v>
      </c>
      <c r="V5" s="75">
        <f t="shared" ref="V5:X5" si="13">U5+1</f>
        <v>10</v>
      </c>
      <c r="W5" s="74">
        <f t="shared" si="13"/>
        <v>11</v>
      </c>
      <c r="X5" s="74">
        <f t="shared" si="13"/>
        <v>12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</row>
    <row r="6" spans="1:39" s="78" customFormat="1" ht="26.25" customHeight="1" x14ac:dyDescent="0.2">
      <c r="A6" s="190" t="s">
        <v>6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</row>
    <row r="7" spans="1:39" s="83" customFormat="1" ht="33" customHeight="1" x14ac:dyDescent="0.25">
      <c r="A7" s="79">
        <v>1</v>
      </c>
      <c r="B7" s="88" t="s">
        <v>64</v>
      </c>
      <c r="C7" s="80" t="s">
        <v>14</v>
      </c>
      <c r="D7" s="123">
        <v>2859393.46</v>
      </c>
      <c r="E7" s="123">
        <v>2948672.36</v>
      </c>
      <c r="F7" s="124">
        <f>SUM(G7:N7)</f>
        <v>1963766.7549999999</v>
      </c>
      <c r="G7" s="123">
        <v>178227.345</v>
      </c>
      <c r="H7" s="123">
        <v>241711.46</v>
      </c>
      <c r="I7" s="123">
        <v>229956.74600000001</v>
      </c>
      <c r="J7" s="123">
        <v>213294.984</v>
      </c>
      <c r="K7" s="123">
        <v>258055.78899999999</v>
      </c>
      <c r="L7" s="123">
        <v>296235.73800000001</v>
      </c>
      <c r="M7" s="123">
        <v>272438.53600000002</v>
      </c>
      <c r="N7" s="123">
        <v>273846.15700000001</v>
      </c>
      <c r="O7" s="125">
        <v>1892062.878</v>
      </c>
      <c r="P7" s="126">
        <f t="shared" ref="P7:P43" si="14">F7-O7</f>
        <v>71703.876999999862</v>
      </c>
      <c r="Q7" s="127">
        <f>F7/O7*100</f>
        <v>103.78971956131787</v>
      </c>
      <c r="R7" s="126">
        <f>E7/12*8</f>
        <v>1965781.5733333332</v>
      </c>
      <c r="S7" s="126">
        <f t="shared" ref="S7:S43" si="15">F7-R7</f>
        <v>-2014.8183333333582</v>
      </c>
      <c r="T7" s="127">
        <f t="shared" ref="T7:T42" si="16">F7/R7*100</f>
        <v>99.897505482772587</v>
      </c>
      <c r="U7" s="127">
        <f>F7/E7*100</f>
        <v>66.598336988515058</v>
      </c>
      <c r="V7" s="124">
        <v>1500197.6990000003</v>
      </c>
      <c r="W7" s="126">
        <f t="shared" ref="W7:W43" si="17">F7-V7</f>
        <v>463569.05599999963</v>
      </c>
      <c r="X7" s="127">
        <f>F7/V7*100</f>
        <v>130.90053106393944</v>
      </c>
      <c r="Y7" s="81"/>
      <c r="Z7" s="81"/>
      <c r="AA7" s="81">
        <f>Y7-Z7</f>
        <v>0</v>
      </c>
      <c r="AB7" s="82" t="e">
        <f>Y7/Z7*100</f>
        <v>#DIV/0!</v>
      </c>
    </row>
    <row r="8" spans="1:39" s="83" customFormat="1" ht="48" customHeight="1" x14ac:dyDescent="0.25">
      <c r="A8" s="79">
        <f>A7+1</f>
        <v>2</v>
      </c>
      <c r="B8" s="88" t="s">
        <v>35</v>
      </c>
      <c r="C8" s="80" t="s">
        <v>16</v>
      </c>
      <c r="D8" s="123">
        <v>1010</v>
      </c>
      <c r="E8" s="123">
        <f t="shared" ref="E8:E47" si="18">D8</f>
        <v>1010</v>
      </c>
      <c r="F8" s="124">
        <f t="shared" ref="F8:F71" si="19">SUM(G8:N8)</f>
        <v>626.61399999999992</v>
      </c>
      <c r="G8" s="123">
        <v>2.6560000000000001</v>
      </c>
      <c r="H8" s="123">
        <v>179.74199999999999</v>
      </c>
      <c r="I8" s="123">
        <v>86.79</v>
      </c>
      <c r="J8" s="123">
        <v>30.728999999999999</v>
      </c>
      <c r="K8" s="123">
        <v>127.95</v>
      </c>
      <c r="L8" s="123">
        <v>15.706</v>
      </c>
      <c r="M8" s="123">
        <v>5.3999999999999999E-2</v>
      </c>
      <c r="N8" s="123">
        <v>182.98699999999999</v>
      </c>
      <c r="O8" s="125">
        <v>622.70000000000005</v>
      </c>
      <c r="P8" s="126">
        <f t="shared" si="14"/>
        <v>3.9139999999998736</v>
      </c>
      <c r="Q8" s="127">
        <f>F8/O8*100</f>
        <v>100.62855307531716</v>
      </c>
      <c r="R8" s="126">
        <f t="shared" ref="R8:R47" si="20">E8/12*8</f>
        <v>673.33333333333337</v>
      </c>
      <c r="S8" s="126">
        <f t="shared" si="15"/>
        <v>-46.719333333333452</v>
      </c>
      <c r="T8" s="127">
        <f t="shared" si="16"/>
        <v>93.061485148514834</v>
      </c>
      <c r="U8" s="127">
        <f t="shared" ref="U8:U74" si="21">F8/E8*100</f>
        <v>62.040990099009896</v>
      </c>
      <c r="V8" s="124">
        <v>787.23100000000011</v>
      </c>
      <c r="W8" s="126">
        <f t="shared" si="17"/>
        <v>-160.61700000000019</v>
      </c>
      <c r="X8" s="127">
        <f>F8/V8*100</f>
        <v>79.597221146016835</v>
      </c>
      <c r="Y8" s="81"/>
      <c r="Z8" s="81"/>
      <c r="AA8" s="81">
        <f>V7/0.5</f>
        <v>3000395.3980000005</v>
      </c>
      <c r="AB8" s="82">
        <f>Z8/AA8*100</f>
        <v>0</v>
      </c>
    </row>
    <row r="9" spans="1:39" s="83" customFormat="1" ht="23.25" x14ac:dyDescent="0.25">
      <c r="A9" s="79">
        <v>3</v>
      </c>
      <c r="B9" s="88" t="s">
        <v>104</v>
      </c>
      <c r="C9" s="80" t="s">
        <v>105</v>
      </c>
      <c r="D9" s="123">
        <f>SUM(D10:D13)</f>
        <v>484</v>
      </c>
      <c r="E9" s="123">
        <f>E10+E11+E12+E13</f>
        <v>619</v>
      </c>
      <c r="F9" s="124">
        <f t="shared" si="19"/>
        <v>441.19400000000007</v>
      </c>
      <c r="G9" s="123">
        <f t="shared" ref="G9:O9" si="22">SUM(G10:G13)</f>
        <v>1.3639999999999999</v>
      </c>
      <c r="H9" s="123">
        <f t="shared" si="22"/>
        <v>157.91800000000001</v>
      </c>
      <c r="I9" s="123">
        <f t="shared" si="22"/>
        <v>0.187</v>
      </c>
      <c r="J9" s="123">
        <f t="shared" si="22"/>
        <v>1.9410000000000001</v>
      </c>
      <c r="K9" s="123">
        <f t="shared" ref="K9:M9" si="23">SUM(K10:K13)</f>
        <v>93.403000000000006</v>
      </c>
      <c r="L9" s="123">
        <f t="shared" si="23"/>
        <v>0.217</v>
      </c>
      <c r="M9" s="123">
        <f t="shared" si="23"/>
        <v>5.1079999999999997</v>
      </c>
      <c r="N9" s="123">
        <f t="shared" si="22"/>
        <v>181.05600000000001</v>
      </c>
      <c r="O9" s="123">
        <f t="shared" si="22"/>
        <v>438.16999999999996</v>
      </c>
      <c r="P9" s="126">
        <f t="shared" si="14"/>
        <v>3.0240000000001146</v>
      </c>
      <c r="Q9" s="127">
        <f>F9/O9*100</f>
        <v>100.69014309514574</v>
      </c>
      <c r="R9" s="126">
        <f t="shared" si="20"/>
        <v>412.66666666666669</v>
      </c>
      <c r="S9" s="126">
        <f t="shared" si="15"/>
        <v>28.527333333333388</v>
      </c>
      <c r="T9" s="127">
        <f t="shared" si="16"/>
        <v>106.91292407108239</v>
      </c>
      <c r="U9" s="127">
        <f t="shared" si="21"/>
        <v>71.275282714054939</v>
      </c>
      <c r="V9" s="124">
        <f>SUM(V10:V13)</f>
        <v>341.97800000000007</v>
      </c>
      <c r="W9" s="126">
        <f t="shared" si="17"/>
        <v>99.216000000000008</v>
      </c>
      <c r="X9" s="127">
        <f>F9/V9*100</f>
        <v>129.01239261005094</v>
      </c>
      <c r="Y9" s="81"/>
      <c r="Z9" s="81"/>
      <c r="AA9" s="81"/>
      <c r="AB9" s="82"/>
    </row>
    <row r="10" spans="1:39" s="83" customFormat="1" ht="39" x14ac:dyDescent="0.25">
      <c r="A10" s="84" t="s">
        <v>106</v>
      </c>
      <c r="B10" s="174" t="s">
        <v>148</v>
      </c>
      <c r="C10" s="178" t="s">
        <v>149</v>
      </c>
      <c r="D10" s="123">
        <v>23</v>
      </c>
      <c r="E10" s="123">
        <f t="shared" si="18"/>
        <v>23</v>
      </c>
      <c r="F10" s="129">
        <f t="shared" si="19"/>
        <v>12.968999999999999</v>
      </c>
      <c r="G10" s="123">
        <v>0</v>
      </c>
      <c r="H10" s="123">
        <v>4.5519999999999996</v>
      </c>
      <c r="I10" s="123">
        <v>0</v>
      </c>
      <c r="J10" s="123">
        <v>0</v>
      </c>
      <c r="K10" s="123">
        <v>4.2080000000000002</v>
      </c>
      <c r="L10" s="123">
        <v>0</v>
      </c>
      <c r="M10" s="123">
        <v>0</v>
      </c>
      <c r="N10" s="123">
        <v>4.2089999999999996</v>
      </c>
      <c r="O10" s="125">
        <v>12.7</v>
      </c>
      <c r="P10" s="126">
        <f t="shared" ref="P10" si="24">F10-O10</f>
        <v>0.26900000000000013</v>
      </c>
      <c r="Q10" s="132">
        <f t="shared" ref="Q10:Q11" si="25">F10/O10*100</f>
        <v>102.11811023622049</v>
      </c>
      <c r="R10" s="126">
        <f t="shared" si="20"/>
        <v>15.333333333333334</v>
      </c>
      <c r="S10" s="126">
        <f t="shared" ref="S10" si="26">F10-R10</f>
        <v>-2.3643333333333345</v>
      </c>
      <c r="T10" s="132">
        <f t="shared" si="16"/>
        <v>84.580434782608691</v>
      </c>
      <c r="U10" s="127">
        <f t="shared" si="21"/>
        <v>56.38695652173913</v>
      </c>
      <c r="V10" s="124">
        <v>17.615000000000002</v>
      </c>
      <c r="W10" s="126">
        <f t="shared" si="17"/>
        <v>-4.6460000000000026</v>
      </c>
      <c r="X10" s="127">
        <f t="shared" ref="X10:X11" si="27">F10/V10*100</f>
        <v>73.624751632131691</v>
      </c>
      <c r="Y10" s="81"/>
      <c r="Z10" s="81"/>
      <c r="AA10" s="81"/>
      <c r="AB10" s="82"/>
    </row>
    <row r="11" spans="1:39" s="87" customFormat="1" ht="58.5" x14ac:dyDescent="0.25">
      <c r="A11" s="84" t="s">
        <v>107</v>
      </c>
      <c r="B11" s="174" t="s">
        <v>99</v>
      </c>
      <c r="C11" s="71" t="s">
        <v>100</v>
      </c>
      <c r="D11" s="128">
        <v>160</v>
      </c>
      <c r="E11" s="128">
        <v>295</v>
      </c>
      <c r="F11" s="129">
        <f t="shared" si="19"/>
        <v>286.57600000000002</v>
      </c>
      <c r="G11" s="128">
        <v>0</v>
      </c>
      <c r="H11" s="128">
        <v>69.736000000000004</v>
      </c>
      <c r="I11" s="128">
        <v>0</v>
      </c>
      <c r="J11" s="128">
        <v>0</v>
      </c>
      <c r="K11" s="128">
        <v>58.252000000000002</v>
      </c>
      <c r="L11" s="128">
        <v>0</v>
      </c>
      <c r="M11" s="128">
        <v>0</v>
      </c>
      <c r="N11" s="128">
        <v>158.58799999999999</v>
      </c>
      <c r="O11" s="130">
        <v>285</v>
      </c>
      <c r="P11" s="131">
        <f t="shared" si="14"/>
        <v>1.5760000000000218</v>
      </c>
      <c r="Q11" s="132">
        <f t="shared" si="25"/>
        <v>100.55298245614036</v>
      </c>
      <c r="R11" s="131">
        <f t="shared" si="20"/>
        <v>196.66666666666666</v>
      </c>
      <c r="S11" s="131">
        <f t="shared" si="15"/>
        <v>89.909333333333365</v>
      </c>
      <c r="T11" s="132">
        <f t="shared" si="16"/>
        <v>145.71661016949153</v>
      </c>
      <c r="U11" s="132">
        <f t="shared" si="21"/>
        <v>97.144406779661026</v>
      </c>
      <c r="V11" s="129">
        <v>115.65200000000002</v>
      </c>
      <c r="W11" s="131">
        <f t="shared" si="17"/>
        <v>170.92400000000001</v>
      </c>
      <c r="X11" s="132">
        <f t="shared" si="27"/>
        <v>247.79165081451251</v>
      </c>
    </row>
    <row r="12" spans="1:39" s="87" customFormat="1" ht="39" x14ac:dyDescent="0.25">
      <c r="A12" s="84" t="s">
        <v>108</v>
      </c>
      <c r="B12" s="174" t="s">
        <v>139</v>
      </c>
      <c r="C12" s="71" t="s">
        <v>103</v>
      </c>
      <c r="D12" s="128">
        <v>86</v>
      </c>
      <c r="E12" s="128">
        <f t="shared" si="18"/>
        <v>86</v>
      </c>
      <c r="F12" s="129">
        <f t="shared" si="19"/>
        <v>66.811000000000007</v>
      </c>
      <c r="G12" s="128">
        <v>0.96</v>
      </c>
      <c r="H12" s="128">
        <v>19.995000000000001</v>
      </c>
      <c r="I12" s="128">
        <v>0.187</v>
      </c>
      <c r="J12" s="128">
        <v>1.9410000000000001</v>
      </c>
      <c r="K12" s="128">
        <v>20.943000000000001</v>
      </c>
      <c r="L12" s="128">
        <v>0.217</v>
      </c>
      <c r="M12" s="128">
        <v>5.1079999999999997</v>
      </c>
      <c r="N12" s="128">
        <v>17.46</v>
      </c>
      <c r="O12" s="130">
        <v>66.47</v>
      </c>
      <c r="P12" s="131">
        <f t="shared" si="14"/>
        <v>0.34100000000000819</v>
      </c>
      <c r="Q12" s="132">
        <f>F12/O12*100</f>
        <v>100.51301338949902</v>
      </c>
      <c r="R12" s="131">
        <f t="shared" si="20"/>
        <v>57.333333333333336</v>
      </c>
      <c r="S12" s="131">
        <f t="shared" si="15"/>
        <v>9.4776666666666713</v>
      </c>
      <c r="T12" s="132">
        <f t="shared" si="16"/>
        <v>116.53081395348839</v>
      </c>
      <c r="U12" s="132">
        <f t="shared" si="21"/>
        <v>77.687209302325584</v>
      </c>
      <c r="V12" s="129">
        <v>56.109000000000002</v>
      </c>
      <c r="W12" s="131">
        <f t="shared" si="17"/>
        <v>10.702000000000005</v>
      </c>
      <c r="X12" s="132">
        <f>F12/V12*100</f>
        <v>119.07358890730544</v>
      </c>
    </row>
    <row r="13" spans="1:39" s="87" customFormat="1" ht="39" x14ac:dyDescent="0.25">
      <c r="A13" s="84" t="s">
        <v>150</v>
      </c>
      <c r="B13" s="174" t="s">
        <v>138</v>
      </c>
      <c r="C13" s="71" t="s">
        <v>137</v>
      </c>
      <c r="D13" s="128">
        <v>215</v>
      </c>
      <c r="E13" s="128">
        <f t="shared" si="18"/>
        <v>215</v>
      </c>
      <c r="F13" s="129">
        <f t="shared" si="19"/>
        <v>74.838000000000008</v>
      </c>
      <c r="G13" s="128">
        <v>0.40400000000000003</v>
      </c>
      <c r="H13" s="128">
        <v>63.634999999999998</v>
      </c>
      <c r="I13" s="128">
        <v>0</v>
      </c>
      <c r="J13" s="128">
        <v>0</v>
      </c>
      <c r="K13" s="128">
        <v>10</v>
      </c>
      <c r="L13" s="128">
        <v>0</v>
      </c>
      <c r="M13" s="128">
        <v>0</v>
      </c>
      <c r="N13" s="128">
        <v>0.79900000000000004</v>
      </c>
      <c r="O13" s="130">
        <v>74</v>
      </c>
      <c r="P13" s="131">
        <f t="shared" si="14"/>
        <v>0.83800000000000807</v>
      </c>
      <c r="Q13" s="132">
        <f>F13/O13*100</f>
        <v>101.13243243243244</v>
      </c>
      <c r="R13" s="131">
        <f t="shared" si="20"/>
        <v>143.33333333333334</v>
      </c>
      <c r="S13" s="131">
        <f t="shared" si="15"/>
        <v>-68.495333333333335</v>
      </c>
      <c r="T13" s="132">
        <f t="shared" si="16"/>
        <v>52.212558139534885</v>
      </c>
      <c r="U13" s="132">
        <f t="shared" si="21"/>
        <v>34.808372093023259</v>
      </c>
      <c r="V13" s="129">
        <v>152.602</v>
      </c>
      <c r="W13" s="131">
        <f t="shared" si="17"/>
        <v>-77.763999999999996</v>
      </c>
      <c r="X13" s="132">
        <f>F13/V13*100</f>
        <v>49.041296968584952</v>
      </c>
    </row>
    <row r="14" spans="1:39" s="83" customFormat="1" ht="23.25" x14ac:dyDescent="0.25">
      <c r="A14" s="79">
        <v>4</v>
      </c>
      <c r="B14" s="111" t="s">
        <v>88</v>
      </c>
      <c r="C14" s="106" t="s">
        <v>87</v>
      </c>
      <c r="D14" s="123">
        <f>SUM(D15:D17)</f>
        <v>283000</v>
      </c>
      <c r="E14" s="123">
        <f>SUM(E15:E17)</f>
        <v>193700</v>
      </c>
      <c r="F14" s="124">
        <f t="shared" si="19"/>
        <v>139533.78899999999</v>
      </c>
      <c r="G14" s="123">
        <f t="shared" ref="G14" si="28">SUM(G15:G17)</f>
        <v>13827.143</v>
      </c>
      <c r="H14" s="123">
        <f t="shared" ref="H14:L14" si="29">SUM(H15:H17)</f>
        <v>7447.0510000000004</v>
      </c>
      <c r="I14" s="123">
        <f t="shared" si="29"/>
        <v>25460.977000000003</v>
      </c>
      <c r="J14" s="123">
        <f t="shared" si="29"/>
        <v>6591.6589999999997</v>
      </c>
      <c r="K14" s="123">
        <f t="shared" si="29"/>
        <v>16293.985000000001</v>
      </c>
      <c r="L14" s="123">
        <f t="shared" si="29"/>
        <v>22376.260999999999</v>
      </c>
      <c r="M14" s="123">
        <f>SUM(M15:M17)</f>
        <v>21311.028999999999</v>
      </c>
      <c r="N14" s="123">
        <f>SUM(N15:N17)</f>
        <v>26225.684000000001</v>
      </c>
      <c r="O14" s="125">
        <f>SUM(O15:O17)</f>
        <v>138861.70600000001</v>
      </c>
      <c r="P14" s="126">
        <f t="shared" si="14"/>
        <v>672.08299999998417</v>
      </c>
      <c r="Q14" s="127">
        <f>F14/O14*100</f>
        <v>100.48399448585197</v>
      </c>
      <c r="R14" s="126">
        <f t="shared" si="20"/>
        <v>129133.33333333333</v>
      </c>
      <c r="S14" s="126">
        <f t="shared" si="15"/>
        <v>10400.455666666661</v>
      </c>
      <c r="T14" s="127">
        <f t="shared" si="16"/>
        <v>108.05404414042331</v>
      </c>
      <c r="U14" s="127">
        <f t="shared" si="21"/>
        <v>72.036029426948886</v>
      </c>
      <c r="V14" s="124">
        <f t="shared" ref="V14" si="30">SUM(V15:V17)</f>
        <v>137245.53700000001</v>
      </c>
      <c r="W14" s="126">
        <f t="shared" si="17"/>
        <v>2288.2519999999786</v>
      </c>
      <c r="X14" s="127">
        <f>F14/V14*100</f>
        <v>101.6672687870353</v>
      </c>
    </row>
    <row r="15" spans="1:39" s="87" customFormat="1" ht="39" x14ac:dyDescent="0.25">
      <c r="A15" s="84" t="s">
        <v>121</v>
      </c>
      <c r="B15" s="174" t="s">
        <v>93</v>
      </c>
      <c r="C15" s="71" t="s">
        <v>85</v>
      </c>
      <c r="D15" s="128">
        <v>32000</v>
      </c>
      <c r="E15" s="128">
        <v>4200</v>
      </c>
      <c r="F15" s="129">
        <f t="shared" si="19"/>
        <v>4231</v>
      </c>
      <c r="G15" s="128">
        <v>0</v>
      </c>
      <c r="H15" s="128">
        <v>0</v>
      </c>
      <c r="I15" s="128">
        <v>4216.6000000000004</v>
      </c>
      <c r="J15" s="128">
        <v>8.0489999999999995</v>
      </c>
      <c r="K15" s="128">
        <v>2.7320000000000002</v>
      </c>
      <c r="L15" s="128">
        <v>3.6190000000000002</v>
      </c>
      <c r="M15" s="128">
        <v>0</v>
      </c>
      <c r="N15" s="128">
        <v>0</v>
      </c>
      <c r="O15" s="130">
        <v>4200</v>
      </c>
      <c r="P15" s="131">
        <f t="shared" si="14"/>
        <v>31</v>
      </c>
      <c r="Q15" s="132">
        <f t="shared" ref="Q15:Q28" si="31">F15/O15*100</f>
        <v>100.73809523809526</v>
      </c>
      <c r="R15" s="131">
        <f t="shared" si="20"/>
        <v>2800</v>
      </c>
      <c r="S15" s="131">
        <f t="shared" si="15"/>
        <v>1431</v>
      </c>
      <c r="T15" s="132">
        <f t="shared" si="16"/>
        <v>151.10714285714286</v>
      </c>
      <c r="U15" s="132">
        <f t="shared" si="21"/>
        <v>100.73809523809526</v>
      </c>
      <c r="V15" s="129">
        <v>13356.534</v>
      </c>
      <c r="W15" s="131">
        <f t="shared" si="17"/>
        <v>-9125.5339999999997</v>
      </c>
      <c r="X15" s="132">
        <f t="shared" ref="X15:X26" si="32">F15/V15*100</f>
        <v>31.677379775321953</v>
      </c>
      <c r="Y15" s="85">
        <f>V15+V16</f>
        <v>58717.851999999999</v>
      </c>
      <c r="Z15" s="85">
        <f>F15+F16</f>
        <v>18560.651000000002</v>
      </c>
      <c r="AA15" s="85">
        <f>Z15-Y15</f>
        <v>-40157.201000000001</v>
      </c>
      <c r="AB15" s="87">
        <v>-29512.880000000001</v>
      </c>
    </row>
    <row r="16" spans="1:39" s="87" customFormat="1" ht="39" x14ac:dyDescent="0.25">
      <c r="A16" s="84" t="s">
        <v>122</v>
      </c>
      <c r="B16" s="174" t="s">
        <v>94</v>
      </c>
      <c r="C16" s="71" t="s">
        <v>86</v>
      </c>
      <c r="D16" s="128">
        <v>106000</v>
      </c>
      <c r="E16" s="128">
        <v>14500</v>
      </c>
      <c r="F16" s="129">
        <f t="shared" si="19"/>
        <v>14329.651000000002</v>
      </c>
      <c r="G16" s="128">
        <v>0</v>
      </c>
      <c r="H16" s="128">
        <v>0</v>
      </c>
      <c r="I16" s="128">
        <v>14207.164000000001</v>
      </c>
      <c r="J16" s="128">
        <v>30.79</v>
      </c>
      <c r="K16" s="128">
        <v>45.231999999999999</v>
      </c>
      <c r="L16" s="128">
        <v>46.465000000000003</v>
      </c>
      <c r="M16" s="128">
        <v>0</v>
      </c>
      <c r="N16" s="128">
        <v>0</v>
      </c>
      <c r="O16" s="130">
        <v>14315</v>
      </c>
      <c r="P16" s="131">
        <f t="shared" si="14"/>
        <v>14.651000000001659</v>
      </c>
      <c r="Q16" s="132">
        <f t="shared" si="31"/>
        <v>100.10234718826408</v>
      </c>
      <c r="R16" s="131">
        <f t="shared" si="20"/>
        <v>9666.6666666666661</v>
      </c>
      <c r="S16" s="131">
        <f t="shared" si="15"/>
        <v>4662.9843333333356</v>
      </c>
      <c r="T16" s="132">
        <f t="shared" si="16"/>
        <v>148.23776896551726</v>
      </c>
      <c r="U16" s="132">
        <f t="shared" si="21"/>
        <v>98.825179310344836</v>
      </c>
      <c r="V16" s="129">
        <v>45361.317999999999</v>
      </c>
      <c r="W16" s="131">
        <f t="shared" si="17"/>
        <v>-31031.666999999998</v>
      </c>
      <c r="X16" s="132">
        <f t="shared" si="32"/>
        <v>31.590023464485757</v>
      </c>
    </row>
    <row r="17" spans="1:27" s="87" customFormat="1" ht="39" x14ac:dyDescent="0.25">
      <c r="A17" s="84" t="s">
        <v>123</v>
      </c>
      <c r="B17" s="174" t="s">
        <v>95</v>
      </c>
      <c r="C17" s="71" t="s">
        <v>55</v>
      </c>
      <c r="D17" s="128">
        <v>145000</v>
      </c>
      <c r="E17" s="128">
        <f>SUM(E18:E19)</f>
        <v>175000</v>
      </c>
      <c r="F17" s="129">
        <f t="shared" si="19"/>
        <v>120973.13800000001</v>
      </c>
      <c r="G17" s="128">
        <v>13827.143</v>
      </c>
      <c r="H17" s="128">
        <v>7447.0510000000004</v>
      </c>
      <c r="I17" s="128">
        <v>7037.2129999999997</v>
      </c>
      <c r="J17" s="128">
        <v>6552.82</v>
      </c>
      <c r="K17" s="128">
        <v>16246.021000000001</v>
      </c>
      <c r="L17" s="128">
        <v>22326.177</v>
      </c>
      <c r="M17" s="128">
        <v>21311.028999999999</v>
      </c>
      <c r="N17" s="130">
        <f>SUM(N18:N19)</f>
        <v>26225.684000000001</v>
      </c>
      <c r="O17" s="130">
        <f>SUM(O18:O19)</f>
        <v>120346.70600000001</v>
      </c>
      <c r="P17" s="131">
        <f t="shared" si="14"/>
        <v>626.4320000000007</v>
      </c>
      <c r="Q17" s="132">
        <f t="shared" si="31"/>
        <v>100.52052276362262</v>
      </c>
      <c r="R17" s="131">
        <f t="shared" si="20"/>
        <v>116666.66666666667</v>
      </c>
      <c r="S17" s="131">
        <f t="shared" si="15"/>
        <v>4306.4713333333348</v>
      </c>
      <c r="T17" s="132">
        <f t="shared" si="16"/>
        <v>103.69126114285714</v>
      </c>
      <c r="U17" s="132">
        <f t="shared" si="21"/>
        <v>69.127507428571434</v>
      </c>
      <c r="V17" s="129">
        <v>78527.684999999998</v>
      </c>
      <c r="W17" s="131">
        <f t="shared" si="17"/>
        <v>42445.453000000009</v>
      </c>
      <c r="X17" s="132">
        <f t="shared" si="32"/>
        <v>154.05157811541244</v>
      </c>
    </row>
    <row r="18" spans="1:27" s="87" customFormat="1" ht="97.5" x14ac:dyDescent="0.25">
      <c r="A18" s="84" t="s">
        <v>198</v>
      </c>
      <c r="B18" s="174" t="s">
        <v>196</v>
      </c>
      <c r="C18" s="71" t="s">
        <v>194</v>
      </c>
      <c r="D18" s="128">
        <v>0</v>
      </c>
      <c r="E18" s="128">
        <v>30000</v>
      </c>
      <c r="F18" s="129">
        <f t="shared" si="19"/>
        <v>26147.493999999999</v>
      </c>
      <c r="G18" s="128">
        <v>0</v>
      </c>
      <c r="H18" s="128">
        <v>0</v>
      </c>
      <c r="I18" s="128">
        <v>0</v>
      </c>
      <c r="J18" s="128">
        <v>0</v>
      </c>
      <c r="K18" s="128">
        <v>0</v>
      </c>
      <c r="L18" s="128">
        <v>4774.2579999999998</v>
      </c>
      <c r="M18" s="128">
        <v>8364.5580000000009</v>
      </c>
      <c r="N18" s="128">
        <v>13008.678</v>
      </c>
      <c r="O18" s="130">
        <v>26100</v>
      </c>
      <c r="P18" s="131">
        <f t="shared" ref="P18:P19" si="33">F18-O18</f>
        <v>47.493999999998778</v>
      </c>
      <c r="Q18" s="132">
        <f t="shared" ref="Q18:Q19" si="34">F18/O18*100</f>
        <v>100.181969348659</v>
      </c>
      <c r="R18" s="131">
        <f t="shared" si="20"/>
        <v>20000</v>
      </c>
      <c r="S18" s="131">
        <f t="shared" ref="S18:S19" si="35">F18-R18</f>
        <v>6147.4939999999988</v>
      </c>
      <c r="T18" s="132">
        <f t="shared" ref="T18:T19" si="36">F18/R18*100</f>
        <v>130.73747</v>
      </c>
      <c r="U18" s="132">
        <f t="shared" ref="U18:U19" si="37">F18/E18*100</f>
        <v>87.158313333333325</v>
      </c>
      <c r="V18" s="129">
        <v>0</v>
      </c>
      <c r="W18" s="131">
        <f t="shared" si="17"/>
        <v>26147.493999999999</v>
      </c>
      <c r="X18" s="132"/>
    </row>
    <row r="19" spans="1:27" s="87" customFormat="1" ht="78" x14ac:dyDescent="0.25">
      <c r="A19" s="84" t="s">
        <v>199</v>
      </c>
      <c r="B19" s="174" t="s">
        <v>197</v>
      </c>
      <c r="C19" s="71" t="s">
        <v>195</v>
      </c>
      <c r="D19" s="128">
        <v>0</v>
      </c>
      <c r="E19" s="128">
        <v>145000</v>
      </c>
      <c r="F19" s="129">
        <f t="shared" si="19"/>
        <v>94825.644</v>
      </c>
      <c r="G19" s="128">
        <v>13827.143</v>
      </c>
      <c r="H19" s="128">
        <v>7447.0510000000004</v>
      </c>
      <c r="I19" s="128">
        <v>7037.2129999999997</v>
      </c>
      <c r="J19" s="128">
        <v>6552.82</v>
      </c>
      <c r="K19" s="128">
        <v>16246.021000000001</v>
      </c>
      <c r="L19" s="128">
        <v>17551.919000000002</v>
      </c>
      <c r="M19" s="128">
        <v>12946.471</v>
      </c>
      <c r="N19" s="128">
        <v>13217.005999999999</v>
      </c>
      <c r="O19" s="130">
        <v>94246.706000000006</v>
      </c>
      <c r="P19" s="131">
        <f t="shared" si="33"/>
        <v>578.93799999999464</v>
      </c>
      <c r="Q19" s="132">
        <f t="shared" si="34"/>
        <v>100.6142792937506</v>
      </c>
      <c r="R19" s="131">
        <f t="shared" si="20"/>
        <v>96666.666666666672</v>
      </c>
      <c r="S19" s="131">
        <f t="shared" si="35"/>
        <v>-1841.0226666666713</v>
      </c>
      <c r="T19" s="132">
        <f t="shared" si="36"/>
        <v>98.095493793103444</v>
      </c>
      <c r="U19" s="132">
        <f t="shared" si="37"/>
        <v>65.396995862068962</v>
      </c>
      <c r="V19" s="129">
        <v>0</v>
      </c>
      <c r="W19" s="131">
        <f t="shared" si="17"/>
        <v>94825.644</v>
      </c>
      <c r="X19" s="132"/>
    </row>
    <row r="20" spans="1:27" s="112" customFormat="1" ht="33" customHeight="1" x14ac:dyDescent="0.25">
      <c r="A20" s="79">
        <v>5</v>
      </c>
      <c r="B20" s="88" t="s">
        <v>157</v>
      </c>
      <c r="C20" s="80" t="s">
        <v>158</v>
      </c>
      <c r="D20" s="123">
        <v>0</v>
      </c>
      <c r="E20" s="123">
        <f t="shared" si="18"/>
        <v>0</v>
      </c>
      <c r="F20" s="124">
        <f t="shared" si="19"/>
        <v>6.7789999999999999</v>
      </c>
      <c r="G20" s="123">
        <v>0</v>
      </c>
      <c r="H20" s="123">
        <v>4.5270000000000001</v>
      </c>
      <c r="I20" s="123">
        <v>2.2519999999999998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5">
        <v>0</v>
      </c>
      <c r="P20" s="126">
        <f t="shared" si="14"/>
        <v>6.7789999999999999</v>
      </c>
      <c r="Q20" s="127"/>
      <c r="R20" s="126">
        <f t="shared" si="20"/>
        <v>0</v>
      </c>
      <c r="S20" s="126">
        <f t="shared" si="15"/>
        <v>6.7789999999999999</v>
      </c>
      <c r="T20" s="127"/>
      <c r="U20" s="127"/>
      <c r="V20" s="124">
        <v>0</v>
      </c>
      <c r="W20" s="126">
        <f t="shared" si="17"/>
        <v>6.7789999999999999</v>
      </c>
      <c r="X20" s="127"/>
      <c r="Y20" s="159"/>
      <c r="Z20" s="159"/>
    </row>
    <row r="21" spans="1:27" s="112" customFormat="1" ht="39" x14ac:dyDescent="0.25">
      <c r="A21" s="79">
        <v>6</v>
      </c>
      <c r="B21" s="88" t="s">
        <v>154</v>
      </c>
      <c r="C21" s="80" t="s">
        <v>37</v>
      </c>
      <c r="D21" s="123">
        <f>D22+D23+D24+D26+D25</f>
        <v>1148486.2349999999</v>
      </c>
      <c r="E21" s="123">
        <f t="shared" si="18"/>
        <v>1148486.2349999999</v>
      </c>
      <c r="F21" s="124">
        <f>SUM(G21:N21)</f>
        <v>718115.571</v>
      </c>
      <c r="G21" s="123">
        <f t="shared" ref="G21:O21" si="38">G22+G23+G24+G26+G25</f>
        <v>103730.772</v>
      </c>
      <c r="H21" s="123">
        <f t="shared" ref="H21:K21" si="39">H22+H23+H24+H26+H25</f>
        <v>124787.395</v>
      </c>
      <c r="I21" s="123">
        <f t="shared" si="39"/>
        <v>38829.206000000006</v>
      </c>
      <c r="J21" s="123">
        <f t="shared" si="39"/>
        <v>98595.522000000012</v>
      </c>
      <c r="K21" s="123">
        <f t="shared" si="39"/>
        <v>100774.00299999998</v>
      </c>
      <c r="L21" s="123">
        <f t="shared" ref="L21:N21" si="40">L22+L23+L24+L26+L25</f>
        <v>55356.574000000001</v>
      </c>
      <c r="M21" s="123">
        <f t="shared" ref="M21" si="41">M22+M23+M24+M26+M25</f>
        <v>112530.819</v>
      </c>
      <c r="N21" s="123">
        <f t="shared" si="40"/>
        <v>83511.28</v>
      </c>
      <c r="O21" s="125">
        <f t="shared" si="38"/>
        <v>714924.255</v>
      </c>
      <c r="P21" s="126">
        <f t="shared" si="14"/>
        <v>3191.3159999999916</v>
      </c>
      <c r="Q21" s="127">
        <f t="shared" si="31"/>
        <v>100.44638519083395</v>
      </c>
      <c r="R21" s="126">
        <f t="shared" si="20"/>
        <v>765657.48999999987</v>
      </c>
      <c r="S21" s="126">
        <f t="shared" si="15"/>
        <v>-47541.918999999878</v>
      </c>
      <c r="T21" s="127">
        <f t="shared" si="16"/>
        <v>93.79070672971541</v>
      </c>
      <c r="U21" s="127">
        <f t="shared" si="21"/>
        <v>62.527137819810278</v>
      </c>
      <c r="V21" s="124">
        <f t="shared" ref="V21" si="42">V22+V23+V24+V26+V25</f>
        <v>664282.23400000005</v>
      </c>
      <c r="W21" s="126">
        <f t="shared" si="17"/>
        <v>53833.336999999941</v>
      </c>
      <c r="X21" s="127">
        <f t="shared" si="32"/>
        <v>108.10398566221477</v>
      </c>
      <c r="Y21" s="159">
        <f>V23+V24+V22</f>
        <v>229227.34299999999</v>
      </c>
      <c r="Z21" s="159">
        <f>F22+F23+F24</f>
        <v>235009.60900000003</v>
      </c>
    </row>
    <row r="22" spans="1:27" s="114" customFormat="1" ht="23.25" x14ac:dyDescent="0.25">
      <c r="A22" s="113" t="s">
        <v>133</v>
      </c>
      <c r="B22" s="175" t="s">
        <v>56</v>
      </c>
      <c r="C22" s="185" t="s">
        <v>43</v>
      </c>
      <c r="D22" s="128">
        <v>116436.235</v>
      </c>
      <c r="E22" s="128">
        <f t="shared" si="18"/>
        <v>116436.235</v>
      </c>
      <c r="F22" s="129">
        <f t="shared" si="19"/>
        <v>74145.832999999999</v>
      </c>
      <c r="G22" s="128">
        <v>13619.357</v>
      </c>
      <c r="H22" s="128">
        <v>3898.9369999999999</v>
      </c>
      <c r="I22" s="128">
        <v>2387.5859999999998</v>
      </c>
      <c r="J22" s="128">
        <v>14990.857</v>
      </c>
      <c r="K22" s="128">
        <v>6389.7920000000004</v>
      </c>
      <c r="L22" s="128">
        <v>4611.902</v>
      </c>
      <c r="M22" s="128">
        <v>20510.659</v>
      </c>
      <c r="N22" s="128">
        <v>7736.7430000000004</v>
      </c>
      <c r="O22" s="130">
        <v>73742.570999999996</v>
      </c>
      <c r="P22" s="131">
        <f t="shared" si="14"/>
        <v>403.26200000000244</v>
      </c>
      <c r="Q22" s="132">
        <f t="shared" si="31"/>
        <v>100.54685101771132</v>
      </c>
      <c r="R22" s="157">
        <f t="shared" si="20"/>
        <v>77624.156666666662</v>
      </c>
      <c r="S22" s="131">
        <f t="shared" si="15"/>
        <v>-3478.3236666666635</v>
      </c>
      <c r="T22" s="132">
        <f t="shared" si="16"/>
        <v>95.51901905794189</v>
      </c>
      <c r="U22" s="132">
        <f t="shared" si="21"/>
        <v>63.679346038627926</v>
      </c>
      <c r="V22" s="129">
        <v>69986.983999999982</v>
      </c>
      <c r="W22" s="131">
        <f t="shared" si="17"/>
        <v>4158.8490000000165</v>
      </c>
      <c r="X22" s="132">
        <f t="shared" si="32"/>
        <v>105.94231778869056</v>
      </c>
    </row>
    <row r="23" spans="1:27" s="114" customFormat="1" ht="33" customHeight="1" x14ac:dyDescent="0.25">
      <c r="A23" s="84" t="s">
        <v>134</v>
      </c>
      <c r="B23" s="175" t="s">
        <v>7</v>
      </c>
      <c r="C23" s="185"/>
      <c r="D23" s="128">
        <v>271200</v>
      </c>
      <c r="E23" s="128">
        <f t="shared" si="18"/>
        <v>271200</v>
      </c>
      <c r="F23" s="129">
        <f t="shared" si="19"/>
        <v>159973.133</v>
      </c>
      <c r="G23" s="128">
        <v>16688.975999999999</v>
      </c>
      <c r="H23" s="128">
        <v>18871.810000000001</v>
      </c>
      <c r="I23" s="128">
        <v>17285.558000000001</v>
      </c>
      <c r="J23" s="128">
        <v>17840.13</v>
      </c>
      <c r="K23" s="128">
        <v>22009.425999999999</v>
      </c>
      <c r="L23" s="128">
        <v>20843.353999999999</v>
      </c>
      <c r="M23" s="128">
        <v>24094.768</v>
      </c>
      <c r="N23" s="128">
        <v>22339.111000000001</v>
      </c>
      <c r="O23" s="130">
        <v>158329.65400000001</v>
      </c>
      <c r="P23" s="131">
        <f t="shared" si="14"/>
        <v>1643.4789999999921</v>
      </c>
      <c r="Q23" s="132">
        <f t="shared" si="31"/>
        <v>101.03801085802915</v>
      </c>
      <c r="R23" s="126">
        <f t="shared" si="20"/>
        <v>180800</v>
      </c>
      <c r="S23" s="131">
        <f t="shared" si="15"/>
        <v>-20826.866999999998</v>
      </c>
      <c r="T23" s="132">
        <f t="shared" si="16"/>
        <v>88.480715154867255</v>
      </c>
      <c r="U23" s="132">
        <f t="shared" si="21"/>
        <v>58.987143436578172</v>
      </c>
      <c r="V23" s="129">
        <v>158072.15700000001</v>
      </c>
      <c r="W23" s="131">
        <f t="shared" si="17"/>
        <v>1900.9759999999951</v>
      </c>
      <c r="X23" s="132">
        <f t="shared" si="32"/>
        <v>101.20260015177752</v>
      </c>
    </row>
    <row r="24" spans="1:27" s="114" customFormat="1" ht="33" customHeight="1" x14ac:dyDescent="0.25">
      <c r="A24" s="84" t="s">
        <v>135</v>
      </c>
      <c r="B24" s="175" t="s">
        <v>57</v>
      </c>
      <c r="C24" s="185"/>
      <c r="D24" s="128">
        <v>1200</v>
      </c>
      <c r="E24" s="128">
        <f t="shared" si="18"/>
        <v>1200</v>
      </c>
      <c r="F24" s="129">
        <f t="shared" si="19"/>
        <v>890.64300000000003</v>
      </c>
      <c r="G24" s="128">
        <v>247.57300000000001</v>
      </c>
      <c r="H24" s="128">
        <v>103.742</v>
      </c>
      <c r="I24" s="128">
        <v>29.167000000000002</v>
      </c>
      <c r="J24" s="128">
        <v>161.82400000000001</v>
      </c>
      <c r="K24" s="128">
        <v>44.17</v>
      </c>
      <c r="L24" s="128">
        <v>37.5</v>
      </c>
      <c r="M24" s="128">
        <v>206.25</v>
      </c>
      <c r="N24" s="128">
        <v>60.417000000000002</v>
      </c>
      <c r="O24" s="130">
        <v>884.9</v>
      </c>
      <c r="P24" s="131">
        <f t="shared" si="14"/>
        <v>5.7430000000000518</v>
      </c>
      <c r="Q24" s="132">
        <f t="shared" si="31"/>
        <v>100.6489998869929</v>
      </c>
      <c r="R24" s="126">
        <f t="shared" si="20"/>
        <v>800</v>
      </c>
      <c r="S24" s="131">
        <f t="shared" si="15"/>
        <v>90.643000000000029</v>
      </c>
      <c r="T24" s="132">
        <f t="shared" si="16"/>
        <v>111.330375</v>
      </c>
      <c r="U24" s="132">
        <f t="shared" si="21"/>
        <v>74.220249999999993</v>
      </c>
      <c r="V24" s="129">
        <v>1168.202</v>
      </c>
      <c r="W24" s="131">
        <f t="shared" si="17"/>
        <v>-277.55899999999997</v>
      </c>
      <c r="X24" s="132">
        <f t="shared" si="32"/>
        <v>76.240496078589146</v>
      </c>
      <c r="Y24" s="132">
        <f>100-X24</f>
        <v>23.759503921410854</v>
      </c>
      <c r="Z24" s="115"/>
      <c r="AA24" s="116" t="e">
        <f>F22/#REF!*100</f>
        <v>#REF!</v>
      </c>
    </row>
    <row r="25" spans="1:27" s="118" customFormat="1" ht="33" customHeight="1" x14ac:dyDescent="0.25">
      <c r="A25" s="84" t="s">
        <v>136</v>
      </c>
      <c r="B25" s="175" t="s">
        <v>39</v>
      </c>
      <c r="C25" s="117" t="s">
        <v>38</v>
      </c>
      <c r="D25" s="128">
        <v>2050</v>
      </c>
      <c r="E25" s="128">
        <f t="shared" si="18"/>
        <v>2050</v>
      </c>
      <c r="F25" s="129">
        <f t="shared" si="19"/>
        <v>1544.0260000000001</v>
      </c>
      <c r="G25" s="128">
        <v>94</v>
      </c>
      <c r="H25" s="128">
        <v>159.066</v>
      </c>
      <c r="I25" s="128">
        <v>113.41</v>
      </c>
      <c r="J25" s="128">
        <v>255.81100000000001</v>
      </c>
      <c r="K25" s="128">
        <v>385.988</v>
      </c>
      <c r="L25" s="128">
        <v>133.97999999999999</v>
      </c>
      <c r="M25" s="128">
        <v>177.36099999999999</v>
      </c>
      <c r="N25" s="128">
        <v>224.41</v>
      </c>
      <c r="O25" s="130">
        <v>1515.5</v>
      </c>
      <c r="P25" s="131">
        <f t="shared" si="14"/>
        <v>28.526000000000067</v>
      </c>
      <c r="Q25" s="132">
        <f t="shared" si="31"/>
        <v>101.88228307489278</v>
      </c>
      <c r="R25" s="126">
        <f t="shared" si="20"/>
        <v>1366.6666666666667</v>
      </c>
      <c r="S25" s="131">
        <f t="shared" si="15"/>
        <v>177.35933333333332</v>
      </c>
      <c r="T25" s="132">
        <f t="shared" si="16"/>
        <v>112.97751219512196</v>
      </c>
      <c r="U25" s="132">
        <f t="shared" si="21"/>
        <v>75.31834146341464</v>
      </c>
      <c r="V25" s="129">
        <v>985.04500000000007</v>
      </c>
      <c r="W25" s="128">
        <f t="shared" si="17"/>
        <v>558.98099999999999</v>
      </c>
      <c r="X25" s="132">
        <f t="shared" si="32"/>
        <v>156.74674761051526</v>
      </c>
    </row>
    <row r="26" spans="1:27" s="114" customFormat="1" ht="33" customHeight="1" x14ac:dyDescent="0.25">
      <c r="A26" s="84" t="s">
        <v>167</v>
      </c>
      <c r="B26" s="175" t="s">
        <v>32</v>
      </c>
      <c r="C26" s="182" t="s">
        <v>33</v>
      </c>
      <c r="D26" s="128">
        <v>757600</v>
      </c>
      <c r="E26" s="128">
        <f t="shared" si="18"/>
        <v>757600</v>
      </c>
      <c r="F26" s="129">
        <f t="shared" si="19"/>
        <v>481561.93599999999</v>
      </c>
      <c r="G26" s="128">
        <v>73080.865999999995</v>
      </c>
      <c r="H26" s="128">
        <v>101753.84</v>
      </c>
      <c r="I26" s="128">
        <v>19013.485000000001</v>
      </c>
      <c r="J26" s="128">
        <v>65346.9</v>
      </c>
      <c r="K26" s="128">
        <v>71944.626999999993</v>
      </c>
      <c r="L26" s="128">
        <v>29729.838</v>
      </c>
      <c r="M26" s="128">
        <v>67541.781000000003</v>
      </c>
      <c r="N26" s="128">
        <v>53150.599000000002</v>
      </c>
      <c r="O26" s="130">
        <v>480451.63</v>
      </c>
      <c r="P26" s="131">
        <f t="shared" si="14"/>
        <v>1110.3059999999823</v>
      </c>
      <c r="Q26" s="132">
        <f t="shared" si="31"/>
        <v>100.23109631244252</v>
      </c>
      <c r="R26" s="126">
        <f t="shared" si="20"/>
        <v>505066.66666666669</v>
      </c>
      <c r="S26" s="131">
        <f t="shared" si="15"/>
        <v>-23504.730666666699</v>
      </c>
      <c r="T26" s="132">
        <f t="shared" si="16"/>
        <v>95.346212249208023</v>
      </c>
      <c r="U26" s="132">
        <f t="shared" si="21"/>
        <v>63.564141499472015</v>
      </c>
      <c r="V26" s="129">
        <v>434069.84600000002</v>
      </c>
      <c r="W26" s="131">
        <f t="shared" si="17"/>
        <v>47492.089999999967</v>
      </c>
      <c r="X26" s="132">
        <f t="shared" si="32"/>
        <v>110.94111706621518</v>
      </c>
      <c r="Z26" s="115"/>
      <c r="AA26" s="116" t="e">
        <f>F26/#REF!*100</f>
        <v>#REF!</v>
      </c>
    </row>
    <row r="27" spans="1:27" s="83" customFormat="1" ht="45" customHeight="1" x14ac:dyDescent="0.25">
      <c r="A27" s="79">
        <v>7</v>
      </c>
      <c r="B27" s="88" t="s">
        <v>45</v>
      </c>
      <c r="C27" s="80" t="s">
        <v>17</v>
      </c>
      <c r="D27" s="123">
        <v>950</v>
      </c>
      <c r="E27" s="123">
        <f t="shared" si="18"/>
        <v>950</v>
      </c>
      <c r="F27" s="124">
        <f t="shared" si="19"/>
        <v>553.31099999999992</v>
      </c>
      <c r="G27" s="123">
        <v>1.284</v>
      </c>
      <c r="H27" s="123">
        <v>40.808</v>
      </c>
      <c r="I27" s="123">
        <v>10.311</v>
      </c>
      <c r="J27" s="123">
        <v>33.229999999999997</v>
      </c>
      <c r="K27" s="123">
        <v>104.869</v>
      </c>
      <c r="L27" s="123">
        <v>56.945</v>
      </c>
      <c r="M27" s="123">
        <v>0</v>
      </c>
      <c r="N27" s="123">
        <v>305.86399999999998</v>
      </c>
      <c r="O27" s="125">
        <v>552</v>
      </c>
      <c r="P27" s="126">
        <f t="shared" si="14"/>
        <v>1.3109999999999218</v>
      </c>
      <c r="Q27" s="127">
        <f t="shared" si="31"/>
        <v>100.23749999999998</v>
      </c>
      <c r="R27" s="126">
        <f t="shared" si="20"/>
        <v>633.33333333333337</v>
      </c>
      <c r="S27" s="126">
        <f t="shared" si="15"/>
        <v>-80.022333333333449</v>
      </c>
      <c r="T27" s="127">
        <f t="shared" si="16"/>
        <v>87.364894736842089</v>
      </c>
      <c r="U27" s="127">
        <f t="shared" si="21"/>
        <v>58.243263157894731</v>
      </c>
      <c r="V27" s="124">
        <v>604.05200000000002</v>
      </c>
      <c r="W27" s="126">
        <f t="shared" si="17"/>
        <v>-50.741000000000099</v>
      </c>
      <c r="X27" s="127">
        <f>F27/V27*100</f>
        <v>91.599895373246</v>
      </c>
      <c r="Y27" s="82">
        <f>100-X27</f>
        <v>8.4001046267540005</v>
      </c>
    </row>
    <row r="28" spans="1:27" s="83" customFormat="1" ht="23.25" x14ac:dyDescent="0.25">
      <c r="A28" s="79">
        <f t="shared" ref="A28:A35" si="43">A27+1</f>
        <v>8</v>
      </c>
      <c r="B28" s="88" t="s">
        <v>69</v>
      </c>
      <c r="C28" s="80" t="s">
        <v>68</v>
      </c>
      <c r="D28" s="123">
        <v>12000</v>
      </c>
      <c r="E28" s="123">
        <f t="shared" si="18"/>
        <v>12000</v>
      </c>
      <c r="F28" s="124">
        <f t="shared" si="19"/>
        <v>9160.6229999999996</v>
      </c>
      <c r="G28" s="123">
        <v>501.13</v>
      </c>
      <c r="H28" s="123">
        <v>1239.694</v>
      </c>
      <c r="I28" s="123">
        <v>1250.075</v>
      </c>
      <c r="J28" s="123">
        <v>1209.75</v>
      </c>
      <c r="K28" s="123">
        <v>1250.0740000000001</v>
      </c>
      <c r="L28" s="123">
        <v>1209.75</v>
      </c>
      <c r="M28" s="123">
        <v>1250.075</v>
      </c>
      <c r="N28" s="123">
        <v>1250.075</v>
      </c>
      <c r="O28" s="125">
        <v>8850</v>
      </c>
      <c r="P28" s="126">
        <f t="shared" si="14"/>
        <v>310.62299999999959</v>
      </c>
      <c r="Q28" s="127">
        <f t="shared" si="31"/>
        <v>103.50986440677966</v>
      </c>
      <c r="R28" s="126">
        <f t="shared" si="20"/>
        <v>8000</v>
      </c>
      <c r="S28" s="126">
        <f t="shared" si="15"/>
        <v>1160.6229999999996</v>
      </c>
      <c r="T28" s="127">
        <f t="shared" si="16"/>
        <v>114.50778749999999</v>
      </c>
      <c r="U28" s="127">
        <f t="shared" si="21"/>
        <v>76.338525000000004</v>
      </c>
      <c r="V28" s="124">
        <v>10763.483000000002</v>
      </c>
      <c r="W28" s="126">
        <f t="shared" si="17"/>
        <v>-1602.8600000000024</v>
      </c>
      <c r="X28" s="127">
        <f>F28/V28*100</f>
        <v>85.1083520083601</v>
      </c>
    </row>
    <row r="29" spans="1:27" s="83" customFormat="1" ht="30.75" customHeight="1" x14ac:dyDescent="0.25">
      <c r="A29" s="79">
        <f t="shared" si="43"/>
        <v>9</v>
      </c>
      <c r="B29" s="88" t="s">
        <v>8</v>
      </c>
      <c r="C29" s="80" t="s">
        <v>18</v>
      </c>
      <c r="D29" s="123">
        <v>6.1</v>
      </c>
      <c r="E29" s="123">
        <v>92</v>
      </c>
      <c r="F29" s="124">
        <f t="shared" si="19"/>
        <v>468.96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L29" s="123">
        <v>7.84</v>
      </c>
      <c r="M29" s="123">
        <v>0.27300000000000002</v>
      </c>
      <c r="N29" s="123">
        <v>460.84699999999998</v>
      </c>
      <c r="O29" s="125">
        <v>92</v>
      </c>
      <c r="P29" s="126">
        <f t="shared" si="14"/>
        <v>376.96</v>
      </c>
      <c r="Q29" s="127">
        <f t="shared" ref="Q29:Q42" si="44">F29/O29*100</f>
        <v>509.73913043478262</v>
      </c>
      <c r="R29" s="126">
        <f t="shared" si="20"/>
        <v>61.333333333333336</v>
      </c>
      <c r="S29" s="126">
        <f t="shared" si="15"/>
        <v>407.62666666666667</v>
      </c>
      <c r="T29" s="127">
        <f t="shared" si="16"/>
        <v>764.60869565217388</v>
      </c>
      <c r="U29" s="127">
        <f t="shared" si="21"/>
        <v>509.73913043478262</v>
      </c>
      <c r="V29" s="124">
        <v>6.0410000000000004</v>
      </c>
      <c r="W29" s="126">
        <f t="shared" si="17"/>
        <v>462.91899999999998</v>
      </c>
      <c r="X29" s="127">
        <f>F29/V29*100</f>
        <v>7762.9531534514144</v>
      </c>
    </row>
    <row r="30" spans="1:27" s="83" customFormat="1" ht="78" x14ac:dyDescent="0.25">
      <c r="A30" s="79">
        <f t="shared" si="43"/>
        <v>10</v>
      </c>
      <c r="B30" s="179" t="s">
        <v>89</v>
      </c>
      <c r="C30" s="107" t="s">
        <v>90</v>
      </c>
      <c r="D30" s="123">
        <v>0.05</v>
      </c>
      <c r="E30" s="123">
        <v>13.25</v>
      </c>
      <c r="F30" s="124">
        <f t="shared" si="19"/>
        <v>5.1849999999999996</v>
      </c>
      <c r="G30" s="123">
        <v>5.1849999999999996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5">
        <v>5.15</v>
      </c>
      <c r="P30" s="126">
        <f t="shared" si="14"/>
        <v>3.4999999999999254E-2</v>
      </c>
      <c r="Q30" s="127">
        <f t="shared" si="44"/>
        <v>100.67961165048543</v>
      </c>
      <c r="R30" s="126">
        <f t="shared" si="20"/>
        <v>8.8333333333333339</v>
      </c>
      <c r="S30" s="126">
        <f t="shared" si="15"/>
        <v>-3.6483333333333343</v>
      </c>
      <c r="T30" s="127">
        <f t="shared" si="16"/>
        <v>58.698113207547166</v>
      </c>
      <c r="U30" s="127">
        <f t="shared" si="21"/>
        <v>39.132075471698109</v>
      </c>
      <c r="V30" s="124">
        <v>0</v>
      </c>
      <c r="W30" s="126">
        <f t="shared" si="17"/>
        <v>5.1849999999999996</v>
      </c>
      <c r="X30" s="127"/>
    </row>
    <row r="31" spans="1:27" s="83" customFormat="1" ht="38.25" customHeight="1" x14ac:dyDescent="0.25">
      <c r="A31" s="79">
        <f t="shared" si="43"/>
        <v>11</v>
      </c>
      <c r="B31" s="142" t="s">
        <v>29</v>
      </c>
      <c r="C31" s="80" t="s">
        <v>24</v>
      </c>
      <c r="D31" s="123">
        <v>14300</v>
      </c>
      <c r="E31" s="123">
        <v>13769</v>
      </c>
      <c r="F31" s="124">
        <f t="shared" si="19"/>
        <v>5598.3769999999995</v>
      </c>
      <c r="G31" s="123">
        <v>1031.287</v>
      </c>
      <c r="H31" s="123">
        <v>1145.06</v>
      </c>
      <c r="I31" s="123">
        <v>101.938</v>
      </c>
      <c r="J31" s="123">
        <v>351.33600000000001</v>
      </c>
      <c r="K31" s="123">
        <v>604.69399999999996</v>
      </c>
      <c r="L31" s="123">
        <v>640.43100000000004</v>
      </c>
      <c r="M31" s="123">
        <v>810.04700000000003</v>
      </c>
      <c r="N31" s="123">
        <v>913.58399999999995</v>
      </c>
      <c r="O31" s="125">
        <v>5539</v>
      </c>
      <c r="P31" s="126">
        <f t="shared" si="14"/>
        <v>59.376999999999498</v>
      </c>
      <c r="Q31" s="127">
        <f t="shared" si="44"/>
        <v>101.07198050189564</v>
      </c>
      <c r="R31" s="126">
        <f t="shared" si="20"/>
        <v>9179.3333333333339</v>
      </c>
      <c r="S31" s="126">
        <f t="shared" si="15"/>
        <v>-3580.9563333333344</v>
      </c>
      <c r="T31" s="127">
        <f t="shared" si="16"/>
        <v>60.988928026726697</v>
      </c>
      <c r="U31" s="127">
        <f t="shared" si="21"/>
        <v>40.659285351151134</v>
      </c>
      <c r="V31" s="124">
        <v>8117.5609999999988</v>
      </c>
      <c r="W31" s="126">
        <f t="shared" si="17"/>
        <v>-2519.1839999999993</v>
      </c>
      <c r="X31" s="127">
        <f t="shared" ref="X31:X42" si="45">F31/V31*100</f>
        <v>68.966244910263072</v>
      </c>
      <c r="Y31" s="82">
        <f>N31-'[1]2021'!$I$29</f>
        <v>19.616999999999962</v>
      </c>
    </row>
    <row r="32" spans="1:27" s="83" customFormat="1" ht="58.5" x14ac:dyDescent="0.25">
      <c r="A32" s="79">
        <f t="shared" si="43"/>
        <v>12</v>
      </c>
      <c r="B32" s="142" t="s">
        <v>79</v>
      </c>
      <c r="C32" s="80" t="s">
        <v>78</v>
      </c>
      <c r="D32" s="123">
        <v>560</v>
      </c>
      <c r="E32" s="123">
        <f t="shared" si="18"/>
        <v>560</v>
      </c>
      <c r="F32" s="124">
        <f t="shared" si="19"/>
        <v>179.27199999999999</v>
      </c>
      <c r="G32" s="123">
        <v>79.635000000000005</v>
      </c>
      <c r="H32" s="123">
        <v>6.94</v>
      </c>
      <c r="I32" s="123">
        <v>0</v>
      </c>
      <c r="J32" s="123">
        <v>0</v>
      </c>
      <c r="K32" s="123">
        <v>15.282</v>
      </c>
      <c r="L32" s="123">
        <v>43.445</v>
      </c>
      <c r="M32" s="123">
        <v>33.97</v>
      </c>
      <c r="N32" s="123">
        <v>0</v>
      </c>
      <c r="O32" s="125">
        <v>179</v>
      </c>
      <c r="P32" s="126">
        <f t="shared" si="14"/>
        <v>0.27199999999999136</v>
      </c>
      <c r="Q32" s="127">
        <f t="shared" si="44"/>
        <v>100.15195530726257</v>
      </c>
      <c r="R32" s="126">
        <f t="shared" si="20"/>
        <v>373.33333333333331</v>
      </c>
      <c r="S32" s="126">
        <f t="shared" si="15"/>
        <v>-194.06133333333332</v>
      </c>
      <c r="T32" s="127">
        <f t="shared" si="16"/>
        <v>48.019285714285715</v>
      </c>
      <c r="U32" s="127">
        <f t="shared" si="21"/>
        <v>32.012857142857143</v>
      </c>
      <c r="V32" s="124">
        <v>358.32</v>
      </c>
      <c r="W32" s="126">
        <f t="shared" si="17"/>
        <v>-179.048</v>
      </c>
      <c r="X32" s="127">
        <f t="shared" si="45"/>
        <v>50.031256977003792</v>
      </c>
    </row>
    <row r="33" spans="1:31" s="83" customFormat="1" ht="33" customHeight="1" x14ac:dyDescent="0.25">
      <c r="A33" s="79">
        <f t="shared" si="43"/>
        <v>13</v>
      </c>
      <c r="B33" s="142" t="s">
        <v>109</v>
      </c>
      <c r="C33" s="80" t="s">
        <v>110</v>
      </c>
      <c r="D33" s="123">
        <v>18563.54</v>
      </c>
      <c r="E33" s="123">
        <f t="shared" si="18"/>
        <v>18563.54</v>
      </c>
      <c r="F33" s="124">
        <f t="shared" si="19"/>
        <v>11959.253999999997</v>
      </c>
      <c r="G33" s="123">
        <v>1407.4690000000001</v>
      </c>
      <c r="H33" s="123">
        <v>1637.8989999999999</v>
      </c>
      <c r="I33" s="123">
        <v>1178.489</v>
      </c>
      <c r="J33" s="123">
        <v>1400.6790000000001</v>
      </c>
      <c r="K33" s="123">
        <v>1638.828</v>
      </c>
      <c r="L33" s="123">
        <v>1668.5050000000001</v>
      </c>
      <c r="M33" s="123">
        <v>1649.5060000000001</v>
      </c>
      <c r="N33" s="123">
        <v>1377.8789999999999</v>
      </c>
      <c r="O33" s="125">
        <v>11815</v>
      </c>
      <c r="P33" s="126">
        <f t="shared" si="14"/>
        <v>144.25399999999718</v>
      </c>
      <c r="Q33" s="127">
        <f t="shared" si="44"/>
        <v>101.22093948370711</v>
      </c>
      <c r="R33" s="126">
        <f t="shared" si="20"/>
        <v>12375.693333333335</v>
      </c>
      <c r="S33" s="126">
        <f t="shared" si="15"/>
        <v>-416.43933333333734</v>
      </c>
      <c r="T33" s="127">
        <f t="shared" si="16"/>
        <v>96.635022199429599</v>
      </c>
      <c r="U33" s="127">
        <f t="shared" si="21"/>
        <v>64.423348132953066</v>
      </c>
      <c r="V33" s="124">
        <v>11635.821999999998</v>
      </c>
      <c r="W33" s="126">
        <f t="shared" si="17"/>
        <v>323.43199999999888</v>
      </c>
      <c r="X33" s="127">
        <f t="shared" si="45"/>
        <v>102.7796231327705</v>
      </c>
    </row>
    <row r="34" spans="1:31" s="83" customFormat="1" ht="78" x14ac:dyDescent="0.25">
      <c r="A34" s="79">
        <f t="shared" si="43"/>
        <v>14</v>
      </c>
      <c r="B34" s="142" t="s">
        <v>151</v>
      </c>
      <c r="C34" s="80" t="s">
        <v>152</v>
      </c>
      <c r="D34" s="123">
        <v>35</v>
      </c>
      <c r="E34" s="123">
        <v>40</v>
      </c>
      <c r="F34" s="124">
        <f t="shared" si="19"/>
        <v>41.524000000000001</v>
      </c>
      <c r="G34" s="123">
        <v>8.39</v>
      </c>
      <c r="H34" s="123">
        <v>6.0720000000000001</v>
      </c>
      <c r="I34" s="123">
        <v>1.95</v>
      </c>
      <c r="J34" s="123">
        <v>1.95</v>
      </c>
      <c r="K34" s="123">
        <v>6.2619999999999996</v>
      </c>
      <c r="L34" s="123">
        <v>5.85</v>
      </c>
      <c r="M34" s="123">
        <v>1.3</v>
      </c>
      <c r="N34" s="123">
        <v>9.75</v>
      </c>
      <c r="O34" s="125">
        <v>40</v>
      </c>
      <c r="P34" s="126">
        <f t="shared" si="14"/>
        <v>1.5240000000000009</v>
      </c>
      <c r="Q34" s="127">
        <f t="shared" si="44"/>
        <v>103.81</v>
      </c>
      <c r="R34" s="126">
        <f t="shared" si="20"/>
        <v>26.666666666666668</v>
      </c>
      <c r="S34" s="126">
        <f t="shared" ref="S34" si="46">F34-R34</f>
        <v>14.857333333333333</v>
      </c>
      <c r="T34" s="127">
        <f>F34/R34*100</f>
        <v>155.715</v>
      </c>
      <c r="U34" s="127">
        <f t="shared" si="21"/>
        <v>103.81</v>
      </c>
      <c r="V34" s="124">
        <v>22.599999999999998</v>
      </c>
      <c r="W34" s="126">
        <f t="shared" si="17"/>
        <v>18.924000000000003</v>
      </c>
      <c r="X34" s="127">
        <f t="shared" si="45"/>
        <v>183.73451327433631</v>
      </c>
    </row>
    <row r="35" spans="1:31" s="83" customFormat="1" ht="32.25" customHeight="1" x14ac:dyDescent="0.25">
      <c r="A35" s="79">
        <f t="shared" si="43"/>
        <v>15</v>
      </c>
      <c r="B35" s="142" t="s">
        <v>81</v>
      </c>
      <c r="C35" s="80" t="s">
        <v>80</v>
      </c>
      <c r="D35" s="123">
        <f>SUM(D36:D39)</f>
        <v>34832</v>
      </c>
      <c r="E35" s="123">
        <f t="shared" si="18"/>
        <v>34832</v>
      </c>
      <c r="F35" s="124">
        <f t="shared" si="19"/>
        <v>28380.421999999999</v>
      </c>
      <c r="G35" s="123">
        <f t="shared" ref="G35:O35" si="47">SUM(G36:G39)</f>
        <v>2780.7419999999997</v>
      </c>
      <c r="H35" s="123">
        <f t="shared" ref="H35:M35" si="48">SUM(H36:H39)</f>
        <v>3150.4559999999997</v>
      </c>
      <c r="I35" s="123">
        <f t="shared" si="48"/>
        <v>1405.0839999999998</v>
      </c>
      <c r="J35" s="123">
        <f t="shared" si="48"/>
        <v>3801.056</v>
      </c>
      <c r="K35" s="123">
        <f t="shared" si="48"/>
        <v>4568.1049999999996</v>
      </c>
      <c r="L35" s="123">
        <f t="shared" si="48"/>
        <v>4663.393</v>
      </c>
      <c r="M35" s="123">
        <f t="shared" si="48"/>
        <v>4146.7790000000005</v>
      </c>
      <c r="N35" s="123">
        <f t="shared" si="47"/>
        <v>3864.8069999999998</v>
      </c>
      <c r="O35" s="125">
        <f t="shared" si="47"/>
        <v>28138.349000000002</v>
      </c>
      <c r="P35" s="126">
        <f t="shared" si="14"/>
        <v>242.07299999999668</v>
      </c>
      <c r="Q35" s="127">
        <f t="shared" si="44"/>
        <v>100.86029567690697</v>
      </c>
      <c r="R35" s="126">
        <f t="shared" si="20"/>
        <v>23221.333333333332</v>
      </c>
      <c r="S35" s="126">
        <f t="shared" si="15"/>
        <v>5159.0886666666665</v>
      </c>
      <c r="T35" s="127">
        <f t="shared" si="16"/>
        <v>122.21702170418007</v>
      </c>
      <c r="U35" s="127">
        <f t="shared" si="21"/>
        <v>81.47801446945337</v>
      </c>
      <c r="V35" s="124">
        <f t="shared" ref="V35" si="49">SUM(V36:V39)</f>
        <v>21902.831000000002</v>
      </c>
      <c r="W35" s="126">
        <f t="shared" si="17"/>
        <v>6477.5909999999967</v>
      </c>
      <c r="X35" s="127">
        <f t="shared" si="45"/>
        <v>129.57421805427799</v>
      </c>
      <c r="Y35" s="81">
        <f>N35-'[1]2021'!$I$33</f>
        <v>1308.5299999999997</v>
      </c>
    </row>
    <row r="36" spans="1:31" s="87" customFormat="1" ht="58.5" x14ac:dyDescent="0.25">
      <c r="A36" s="84" t="s">
        <v>168</v>
      </c>
      <c r="B36" s="143" t="s">
        <v>73</v>
      </c>
      <c r="C36" s="182" t="s">
        <v>72</v>
      </c>
      <c r="D36" s="128">
        <v>1500</v>
      </c>
      <c r="E36" s="128">
        <f t="shared" si="18"/>
        <v>1500</v>
      </c>
      <c r="F36" s="129">
        <f t="shared" si="19"/>
        <v>606.94799999999998</v>
      </c>
      <c r="G36" s="128">
        <v>105.29900000000001</v>
      </c>
      <c r="H36" s="128">
        <v>116.64</v>
      </c>
      <c r="I36" s="128">
        <v>11.1</v>
      </c>
      <c r="J36" s="128">
        <v>63.677999999999997</v>
      </c>
      <c r="K36" s="128">
        <v>77.98</v>
      </c>
      <c r="L36" s="128">
        <v>79.364000000000004</v>
      </c>
      <c r="M36" s="128">
        <v>54.024999999999999</v>
      </c>
      <c r="N36" s="128">
        <v>98.861999999999995</v>
      </c>
      <c r="O36" s="130">
        <v>601</v>
      </c>
      <c r="P36" s="131">
        <f t="shared" si="14"/>
        <v>5.9479999999999791</v>
      </c>
      <c r="Q36" s="132">
        <f t="shared" si="44"/>
        <v>100.98968386023294</v>
      </c>
      <c r="R36" s="126">
        <f t="shared" si="20"/>
        <v>1000</v>
      </c>
      <c r="S36" s="131">
        <f t="shared" si="15"/>
        <v>-393.05200000000002</v>
      </c>
      <c r="T36" s="132">
        <f t="shared" si="16"/>
        <v>60.694799999999994</v>
      </c>
      <c r="U36" s="132">
        <f t="shared" si="21"/>
        <v>40.463200000000001</v>
      </c>
      <c r="V36" s="129">
        <v>1025.126</v>
      </c>
      <c r="W36" s="131">
        <f t="shared" si="17"/>
        <v>-418.178</v>
      </c>
      <c r="X36" s="132">
        <f t="shared" si="45"/>
        <v>59.2071608758338</v>
      </c>
      <c r="Y36" s="132">
        <f>X36-100</f>
        <v>-40.7928391241662</v>
      </c>
      <c r="Z36" s="85"/>
    </row>
    <row r="37" spans="1:31" s="87" customFormat="1" ht="33" customHeight="1" x14ac:dyDescent="0.25">
      <c r="A37" s="84" t="s">
        <v>169</v>
      </c>
      <c r="B37" s="144" t="s">
        <v>58</v>
      </c>
      <c r="C37" s="71" t="s">
        <v>59</v>
      </c>
      <c r="D37" s="128">
        <v>32000</v>
      </c>
      <c r="E37" s="128">
        <f t="shared" si="18"/>
        <v>32000</v>
      </c>
      <c r="F37" s="129">
        <f t="shared" si="19"/>
        <v>27344.775000000001</v>
      </c>
      <c r="G37" s="128">
        <v>2558.1509999999998</v>
      </c>
      <c r="H37" s="128">
        <v>2929.93</v>
      </c>
      <c r="I37" s="128">
        <v>1393.9839999999999</v>
      </c>
      <c r="J37" s="128">
        <v>3737.3780000000002</v>
      </c>
      <c r="K37" s="128">
        <v>4482.4160000000002</v>
      </c>
      <c r="L37" s="128">
        <v>4520.701</v>
      </c>
      <c r="M37" s="128">
        <v>4015.95</v>
      </c>
      <c r="N37" s="128">
        <v>3706.2649999999999</v>
      </c>
      <c r="O37" s="130">
        <v>27111.291000000001</v>
      </c>
      <c r="P37" s="131">
        <f t="shared" si="14"/>
        <v>233.48400000000038</v>
      </c>
      <c r="Q37" s="132">
        <f t="shared" si="44"/>
        <v>100.86120576109785</v>
      </c>
      <c r="R37" s="126">
        <f t="shared" si="20"/>
        <v>21333.333333333332</v>
      </c>
      <c r="S37" s="131">
        <f t="shared" si="15"/>
        <v>6011.4416666666693</v>
      </c>
      <c r="T37" s="132">
        <f t="shared" si="16"/>
        <v>128.17863281250001</v>
      </c>
      <c r="U37" s="132">
        <f t="shared" si="21"/>
        <v>85.452421875000013</v>
      </c>
      <c r="V37" s="129">
        <v>19952.608</v>
      </c>
      <c r="W37" s="131">
        <f t="shared" si="17"/>
        <v>7392.1670000000013</v>
      </c>
      <c r="X37" s="132">
        <f t="shared" si="45"/>
        <v>137.04862542280188</v>
      </c>
      <c r="Y37" s="132">
        <f>X37-100</f>
        <v>37.048625422801877</v>
      </c>
      <c r="Z37" s="86"/>
    </row>
    <row r="38" spans="1:31" s="87" customFormat="1" ht="39" x14ac:dyDescent="0.25">
      <c r="A38" s="84" t="s">
        <v>170</v>
      </c>
      <c r="B38" s="144" t="s">
        <v>77</v>
      </c>
      <c r="C38" s="71" t="s">
        <v>74</v>
      </c>
      <c r="D38" s="128">
        <v>1250</v>
      </c>
      <c r="E38" s="128">
        <f t="shared" si="18"/>
        <v>1250</v>
      </c>
      <c r="F38" s="129">
        <f t="shared" si="19"/>
        <v>399.339</v>
      </c>
      <c r="G38" s="128">
        <v>109.502</v>
      </c>
      <c r="H38" s="128">
        <v>95.206000000000003</v>
      </c>
      <c r="I38" s="128">
        <v>0</v>
      </c>
      <c r="J38" s="128">
        <v>0</v>
      </c>
      <c r="K38" s="128">
        <v>7.7089999999999996</v>
      </c>
      <c r="L38" s="128">
        <v>59.607999999999997</v>
      </c>
      <c r="M38" s="128">
        <v>73.084000000000003</v>
      </c>
      <c r="N38" s="128">
        <v>54.23</v>
      </c>
      <c r="O38" s="130">
        <v>396.7</v>
      </c>
      <c r="P38" s="131">
        <f t="shared" si="14"/>
        <v>2.63900000000001</v>
      </c>
      <c r="Q38" s="132">
        <f t="shared" si="44"/>
        <v>100.66523821527602</v>
      </c>
      <c r="R38" s="126">
        <f t="shared" si="20"/>
        <v>833.33333333333337</v>
      </c>
      <c r="S38" s="131">
        <f t="shared" si="15"/>
        <v>-433.99433333333337</v>
      </c>
      <c r="T38" s="132">
        <f t="shared" si="16"/>
        <v>47.920679999999997</v>
      </c>
      <c r="U38" s="132">
        <f t="shared" si="21"/>
        <v>31.947120000000002</v>
      </c>
      <c r="V38" s="129">
        <v>862.50699999999983</v>
      </c>
      <c r="W38" s="131">
        <f t="shared" si="17"/>
        <v>-463.16799999999984</v>
      </c>
      <c r="X38" s="132">
        <f t="shared" si="45"/>
        <v>46.299798146565777</v>
      </c>
    </row>
    <row r="39" spans="1:31" s="87" customFormat="1" ht="97.5" x14ac:dyDescent="0.25">
      <c r="A39" s="84" t="s">
        <v>171</v>
      </c>
      <c r="B39" s="145" t="s">
        <v>76</v>
      </c>
      <c r="C39" s="71" t="s">
        <v>75</v>
      </c>
      <c r="D39" s="128">
        <v>82</v>
      </c>
      <c r="E39" s="128">
        <f t="shared" si="18"/>
        <v>82</v>
      </c>
      <c r="F39" s="129">
        <f t="shared" si="19"/>
        <v>29.359999999999996</v>
      </c>
      <c r="G39" s="128">
        <v>7.79</v>
      </c>
      <c r="H39" s="128">
        <v>8.68</v>
      </c>
      <c r="I39" s="128">
        <v>0</v>
      </c>
      <c r="J39" s="128">
        <v>0</v>
      </c>
      <c r="K39" s="128">
        <v>0</v>
      </c>
      <c r="L39" s="128">
        <v>3.72</v>
      </c>
      <c r="M39" s="128">
        <v>3.72</v>
      </c>
      <c r="N39" s="128">
        <v>5.45</v>
      </c>
      <c r="O39" s="130">
        <v>29.358000000000001</v>
      </c>
      <c r="P39" s="131">
        <f t="shared" si="14"/>
        <v>1.9999999999953388E-3</v>
      </c>
      <c r="Q39" s="132">
        <f t="shared" si="44"/>
        <v>100.00681245316436</v>
      </c>
      <c r="R39" s="126">
        <f t="shared" si="20"/>
        <v>54.666666666666664</v>
      </c>
      <c r="S39" s="131">
        <f t="shared" si="15"/>
        <v>-25.306666666666668</v>
      </c>
      <c r="T39" s="132">
        <f t="shared" si="16"/>
        <v>53.707317073170721</v>
      </c>
      <c r="U39" s="132">
        <f t="shared" si="21"/>
        <v>35.804878048780481</v>
      </c>
      <c r="V39" s="129">
        <v>62.59</v>
      </c>
      <c r="W39" s="131">
        <f t="shared" si="17"/>
        <v>-33.230000000000004</v>
      </c>
      <c r="X39" s="132">
        <f t="shared" si="45"/>
        <v>46.908451829365703</v>
      </c>
    </row>
    <row r="40" spans="1:31" s="83" customFormat="1" ht="42" customHeight="1" x14ac:dyDescent="0.25">
      <c r="A40" s="79">
        <v>16</v>
      </c>
      <c r="B40" s="179" t="s">
        <v>34</v>
      </c>
      <c r="C40" s="80" t="s">
        <v>19</v>
      </c>
      <c r="D40" s="123">
        <v>12300</v>
      </c>
      <c r="E40" s="123">
        <f t="shared" si="18"/>
        <v>12300</v>
      </c>
      <c r="F40" s="124">
        <f t="shared" si="19"/>
        <v>7521.0869999999995</v>
      </c>
      <c r="G40" s="123">
        <v>1496.537</v>
      </c>
      <c r="H40" s="123">
        <v>908.92200000000003</v>
      </c>
      <c r="I40" s="123">
        <v>518.16800000000001</v>
      </c>
      <c r="J40" s="123">
        <v>785.06899999999996</v>
      </c>
      <c r="K40" s="123">
        <v>845.65599999999995</v>
      </c>
      <c r="L40" s="123">
        <v>989.053</v>
      </c>
      <c r="M40" s="123">
        <v>1044.1600000000001</v>
      </c>
      <c r="N40" s="123">
        <v>933.52200000000005</v>
      </c>
      <c r="O40" s="125">
        <v>7371.1</v>
      </c>
      <c r="P40" s="126">
        <f t="shared" si="14"/>
        <v>149.98699999999917</v>
      </c>
      <c r="Q40" s="127">
        <f t="shared" si="44"/>
        <v>102.03479806270433</v>
      </c>
      <c r="R40" s="126">
        <f t="shared" si="20"/>
        <v>8200</v>
      </c>
      <c r="S40" s="126">
        <f t="shared" si="15"/>
        <v>-678.91300000000047</v>
      </c>
      <c r="T40" s="127">
        <f t="shared" si="16"/>
        <v>91.720573170731697</v>
      </c>
      <c r="U40" s="127">
        <f t="shared" si="21"/>
        <v>61.1470487804878</v>
      </c>
      <c r="V40" s="124">
        <v>7634.2310000000007</v>
      </c>
      <c r="W40" s="126">
        <f t="shared" si="17"/>
        <v>-113.14400000000114</v>
      </c>
      <c r="X40" s="127">
        <f t="shared" si="45"/>
        <v>98.517938479985716</v>
      </c>
      <c r="Y40" s="81">
        <f>N40-'[1]2021'!$I$38</f>
        <v>-75.38</v>
      </c>
    </row>
    <row r="41" spans="1:31" s="83" customFormat="1" ht="30.75" customHeight="1" x14ac:dyDescent="0.25">
      <c r="A41" s="79">
        <f t="shared" ref="A41:A47" si="50">A40+1</f>
        <v>17</v>
      </c>
      <c r="B41" s="88" t="s">
        <v>53</v>
      </c>
      <c r="C41" s="80" t="s">
        <v>15</v>
      </c>
      <c r="D41" s="123">
        <v>600</v>
      </c>
      <c r="E41" s="123">
        <f t="shared" si="18"/>
        <v>600</v>
      </c>
      <c r="F41" s="124">
        <f t="shared" si="19"/>
        <v>221.54200000000003</v>
      </c>
      <c r="G41" s="123">
        <v>46.207000000000001</v>
      </c>
      <c r="H41" s="123">
        <v>38.993000000000002</v>
      </c>
      <c r="I41" s="123">
        <v>5.9279999999999999</v>
      </c>
      <c r="J41" s="123">
        <v>15.554</v>
      </c>
      <c r="K41" s="123">
        <v>20.102</v>
      </c>
      <c r="L41" s="123">
        <v>33.802</v>
      </c>
      <c r="M41" s="123">
        <v>27.401</v>
      </c>
      <c r="N41" s="123">
        <v>33.555</v>
      </c>
      <c r="O41" s="125">
        <v>218.99199999999999</v>
      </c>
      <c r="P41" s="126">
        <f t="shared" si="14"/>
        <v>2.5500000000000398</v>
      </c>
      <c r="Q41" s="127">
        <f t="shared" si="44"/>
        <v>101.16442609775702</v>
      </c>
      <c r="R41" s="126">
        <f t="shared" si="20"/>
        <v>400</v>
      </c>
      <c r="S41" s="126">
        <f t="shared" si="15"/>
        <v>-178.45799999999997</v>
      </c>
      <c r="T41" s="127">
        <f t="shared" si="16"/>
        <v>55.385500000000008</v>
      </c>
      <c r="U41" s="127">
        <f t="shared" si="21"/>
        <v>36.923666666666669</v>
      </c>
      <c r="V41" s="124">
        <v>351.31699999999995</v>
      </c>
      <c r="W41" s="126">
        <f t="shared" si="17"/>
        <v>-129.77499999999992</v>
      </c>
      <c r="X41" s="127">
        <f t="shared" si="45"/>
        <v>63.060426907892321</v>
      </c>
      <c r="Y41" s="82">
        <f>100-X41</f>
        <v>36.939573092107679</v>
      </c>
    </row>
    <row r="42" spans="1:31" s="83" customFormat="1" ht="82.5" customHeight="1" x14ac:dyDescent="0.25">
      <c r="A42" s="79">
        <f t="shared" si="50"/>
        <v>18</v>
      </c>
      <c r="B42" s="88" t="s">
        <v>97</v>
      </c>
      <c r="C42" s="80" t="s">
        <v>96</v>
      </c>
      <c r="D42" s="123">
        <v>2.6</v>
      </c>
      <c r="E42" s="123">
        <v>15.6</v>
      </c>
      <c r="F42" s="124">
        <f t="shared" si="19"/>
        <v>13.12</v>
      </c>
      <c r="G42" s="123">
        <v>0</v>
      </c>
      <c r="H42" s="123">
        <v>0</v>
      </c>
      <c r="I42" s="123">
        <v>0</v>
      </c>
      <c r="J42" s="123">
        <v>0</v>
      </c>
      <c r="K42" s="123">
        <v>0</v>
      </c>
      <c r="L42" s="123">
        <v>0</v>
      </c>
      <c r="M42" s="123">
        <v>13.12</v>
      </c>
      <c r="N42" s="123">
        <v>0</v>
      </c>
      <c r="O42" s="125">
        <v>13.1</v>
      </c>
      <c r="P42" s="126">
        <f t="shared" si="14"/>
        <v>1.9999999999999574E-2</v>
      </c>
      <c r="Q42" s="127">
        <f t="shared" si="44"/>
        <v>100.15267175572519</v>
      </c>
      <c r="R42" s="126">
        <f t="shared" si="20"/>
        <v>10.4</v>
      </c>
      <c r="S42" s="126">
        <f t="shared" si="15"/>
        <v>2.7199999999999989</v>
      </c>
      <c r="T42" s="127">
        <f t="shared" si="16"/>
        <v>126.15384615384615</v>
      </c>
      <c r="U42" s="127">
        <f t="shared" si="21"/>
        <v>84.102564102564102</v>
      </c>
      <c r="V42" s="124">
        <v>2.6</v>
      </c>
      <c r="W42" s="126">
        <f t="shared" si="17"/>
        <v>10.52</v>
      </c>
      <c r="X42" s="127">
        <f t="shared" si="45"/>
        <v>504.61538461538458</v>
      </c>
    </row>
    <row r="43" spans="1:31" s="83" customFormat="1" ht="23.25" x14ac:dyDescent="0.25">
      <c r="A43" s="79">
        <f t="shared" si="50"/>
        <v>19</v>
      </c>
      <c r="B43" s="111" t="s">
        <v>60</v>
      </c>
      <c r="C43" s="34" t="s">
        <v>61</v>
      </c>
      <c r="D43" s="123">
        <v>235</v>
      </c>
      <c r="E43" s="123">
        <f t="shared" si="18"/>
        <v>235</v>
      </c>
      <c r="F43" s="124">
        <f t="shared" si="19"/>
        <v>0</v>
      </c>
      <c r="G43" s="123">
        <v>0</v>
      </c>
      <c r="H43" s="123">
        <v>0</v>
      </c>
      <c r="I43" s="123">
        <v>0</v>
      </c>
      <c r="J43" s="123">
        <v>0</v>
      </c>
      <c r="K43" s="123">
        <v>0</v>
      </c>
      <c r="L43" s="123">
        <v>0</v>
      </c>
      <c r="M43" s="123">
        <v>0</v>
      </c>
      <c r="N43" s="123">
        <v>0</v>
      </c>
      <c r="O43" s="125">
        <v>0</v>
      </c>
      <c r="P43" s="126">
        <f t="shared" si="14"/>
        <v>0</v>
      </c>
      <c r="Q43" s="127"/>
      <c r="R43" s="126">
        <f t="shared" si="20"/>
        <v>156.66666666666666</v>
      </c>
      <c r="S43" s="126">
        <f t="shared" si="15"/>
        <v>-156.66666666666666</v>
      </c>
      <c r="T43" s="127">
        <f t="shared" ref="T43:T48" si="51">F43/R43*100</f>
        <v>0</v>
      </c>
      <c r="U43" s="127">
        <f t="shared" si="21"/>
        <v>0</v>
      </c>
      <c r="V43" s="124">
        <v>230.22200000000001</v>
      </c>
      <c r="W43" s="126">
        <f t="shared" si="17"/>
        <v>-230.22200000000001</v>
      </c>
      <c r="X43" s="127"/>
    </row>
    <row r="44" spans="1:31" s="83" customFormat="1" ht="39.75" customHeight="1" x14ac:dyDescent="0.25">
      <c r="A44" s="79">
        <f t="shared" si="50"/>
        <v>20</v>
      </c>
      <c r="B44" s="88" t="s">
        <v>8</v>
      </c>
      <c r="C44" s="80" t="s">
        <v>20</v>
      </c>
      <c r="D44" s="123">
        <v>1700</v>
      </c>
      <c r="E44" s="123">
        <f t="shared" si="18"/>
        <v>1700</v>
      </c>
      <c r="F44" s="124">
        <f t="shared" si="19"/>
        <v>1199.684</v>
      </c>
      <c r="G44" s="123">
        <v>229.78800000000001</v>
      </c>
      <c r="H44" s="123">
        <v>139.07599999999999</v>
      </c>
      <c r="I44" s="123">
        <v>28.978999999999999</v>
      </c>
      <c r="J44" s="123">
        <v>35.814</v>
      </c>
      <c r="K44" s="123">
        <v>78.287000000000006</v>
      </c>
      <c r="L44" s="123">
        <v>74.501999999999995</v>
      </c>
      <c r="M44" s="123">
        <v>27.863</v>
      </c>
      <c r="N44" s="123">
        <v>585.375</v>
      </c>
      <c r="O44" s="125">
        <v>1197</v>
      </c>
      <c r="P44" s="126">
        <f t="shared" ref="P44:P63" si="52">F44-O44</f>
        <v>2.6839999999999691</v>
      </c>
      <c r="Q44" s="127">
        <f>F44/O44*100</f>
        <v>100.22422723475356</v>
      </c>
      <c r="R44" s="126">
        <f t="shared" si="20"/>
        <v>1133.3333333333333</v>
      </c>
      <c r="S44" s="126">
        <f t="shared" ref="S44:S63" si="53">F44-R44</f>
        <v>66.350666666666712</v>
      </c>
      <c r="T44" s="127">
        <f t="shared" si="51"/>
        <v>105.8544705882353</v>
      </c>
      <c r="U44" s="127">
        <f t="shared" si="21"/>
        <v>70.56964705882352</v>
      </c>
      <c r="V44" s="124">
        <v>1192.4590000000001</v>
      </c>
      <c r="W44" s="126">
        <f t="shared" ref="W44:W63" si="54">F44-V44</f>
        <v>7.2249999999999091</v>
      </c>
      <c r="X44" s="127">
        <f>F44/V44*100</f>
        <v>100.60589085243181</v>
      </c>
      <c r="AB44" s="83">
        <v>246438.04</v>
      </c>
    </row>
    <row r="45" spans="1:31" s="83" customFormat="1" ht="136.5" x14ac:dyDescent="0.25">
      <c r="A45" s="79">
        <f t="shared" si="50"/>
        <v>21</v>
      </c>
      <c r="B45" s="88" t="s">
        <v>52</v>
      </c>
      <c r="C45" s="80" t="s">
        <v>46</v>
      </c>
      <c r="D45" s="123">
        <v>1000</v>
      </c>
      <c r="E45" s="123">
        <v>1300</v>
      </c>
      <c r="F45" s="124">
        <f t="shared" si="19"/>
        <v>1270.0520000000001</v>
      </c>
      <c r="G45" s="123">
        <v>162.79300000000001</v>
      </c>
      <c r="H45" s="123">
        <v>1.9590000000000001</v>
      </c>
      <c r="I45" s="123">
        <v>97.171000000000006</v>
      </c>
      <c r="J45" s="123">
        <v>0</v>
      </c>
      <c r="K45" s="123">
        <v>16.827000000000002</v>
      </c>
      <c r="L45" s="123">
        <v>222.87100000000001</v>
      </c>
      <c r="M45" s="123">
        <v>345.33600000000001</v>
      </c>
      <c r="N45" s="123">
        <v>423.09500000000003</v>
      </c>
      <c r="O45" s="125">
        <v>1268.7</v>
      </c>
      <c r="P45" s="126">
        <f t="shared" si="52"/>
        <v>1.3520000000000891</v>
      </c>
      <c r="Q45" s="127">
        <f>F45/O45*100</f>
        <v>100.10656577599117</v>
      </c>
      <c r="R45" s="126">
        <f t="shared" si="20"/>
        <v>866.66666666666663</v>
      </c>
      <c r="S45" s="126">
        <f t="shared" si="53"/>
        <v>403.38533333333351</v>
      </c>
      <c r="T45" s="127">
        <f t="shared" si="51"/>
        <v>146.54446153846158</v>
      </c>
      <c r="U45" s="127">
        <f t="shared" si="21"/>
        <v>97.696307692307698</v>
      </c>
      <c r="V45" s="124">
        <v>928.50599999999986</v>
      </c>
      <c r="W45" s="126">
        <f t="shared" si="54"/>
        <v>341.54600000000028</v>
      </c>
      <c r="X45" s="127">
        <f>F45/V45*100</f>
        <v>136.78446881334102</v>
      </c>
    </row>
    <row r="46" spans="1:31" s="83" customFormat="1" ht="78" x14ac:dyDescent="0.25">
      <c r="A46" s="79">
        <f t="shared" si="50"/>
        <v>22</v>
      </c>
      <c r="B46" s="88" t="s">
        <v>125</v>
      </c>
      <c r="C46" s="80" t="s">
        <v>124</v>
      </c>
      <c r="D46" s="123">
        <v>1</v>
      </c>
      <c r="E46" s="123">
        <f t="shared" si="18"/>
        <v>1</v>
      </c>
      <c r="F46" s="124">
        <f t="shared" si="19"/>
        <v>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/>
      <c r="O46" s="125">
        <v>0</v>
      </c>
      <c r="P46" s="126">
        <f t="shared" si="52"/>
        <v>0</v>
      </c>
      <c r="Q46" s="127"/>
      <c r="R46" s="126">
        <f t="shared" si="20"/>
        <v>0.66666666666666663</v>
      </c>
      <c r="S46" s="126">
        <f t="shared" si="53"/>
        <v>-0.66666666666666663</v>
      </c>
      <c r="T46" s="127">
        <f t="shared" si="51"/>
        <v>0</v>
      </c>
      <c r="U46" s="127">
        <f t="shared" si="21"/>
        <v>0</v>
      </c>
      <c r="V46" s="124">
        <v>0</v>
      </c>
      <c r="W46" s="126">
        <f t="shared" si="54"/>
        <v>0</v>
      </c>
      <c r="X46" s="127"/>
      <c r="Z46" s="81">
        <f>F48-F44</f>
        <v>2887863.4310000003</v>
      </c>
      <c r="AA46" s="81">
        <f>V48-V44</f>
        <v>2365412.2650000006</v>
      </c>
      <c r="AB46" s="82">
        <f>Z46/AA46</f>
        <v>1.2208710818534627</v>
      </c>
    </row>
    <row r="47" spans="1:31" s="83" customFormat="1" ht="39" x14ac:dyDescent="0.25">
      <c r="A47" s="79">
        <f t="shared" si="50"/>
        <v>23</v>
      </c>
      <c r="B47" s="88" t="s">
        <v>83</v>
      </c>
      <c r="C47" s="80" t="s">
        <v>82</v>
      </c>
      <c r="D47" s="123">
        <v>1</v>
      </c>
      <c r="E47" s="123">
        <f t="shared" si="18"/>
        <v>1</v>
      </c>
      <c r="F47" s="124">
        <f t="shared" si="19"/>
        <v>0</v>
      </c>
      <c r="G47" s="123">
        <v>0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23"/>
      <c r="O47" s="125">
        <v>0</v>
      </c>
      <c r="P47" s="126">
        <f t="shared" si="52"/>
        <v>0</v>
      </c>
      <c r="Q47" s="127"/>
      <c r="R47" s="126">
        <f t="shared" si="20"/>
        <v>0.66666666666666663</v>
      </c>
      <c r="S47" s="126">
        <f t="shared" si="53"/>
        <v>-0.66666666666666663</v>
      </c>
      <c r="T47" s="127">
        <f t="shared" si="51"/>
        <v>0</v>
      </c>
      <c r="U47" s="127">
        <f>F47/E47*100</f>
        <v>0</v>
      </c>
      <c r="V47" s="124">
        <v>0</v>
      </c>
      <c r="W47" s="126">
        <f t="shared" si="54"/>
        <v>0</v>
      </c>
      <c r="X47" s="127"/>
    </row>
    <row r="48" spans="1:31" s="94" customFormat="1" ht="48" customHeight="1" x14ac:dyDescent="0.3">
      <c r="A48" s="89"/>
      <c r="B48" s="90" t="s">
        <v>155</v>
      </c>
      <c r="C48" s="91"/>
      <c r="D48" s="91">
        <f>D7+D8+D9+D14+D21+D27+D28+D29+D30+D31+D32+D33+D35+D40+D41+D42+D43+D44+D45+D47+D46+D34</f>
        <v>4389459.9849999994</v>
      </c>
      <c r="E48" s="91">
        <f>E7+E8+E9+E14+E21+E27+E28+E29+E30+E31+E32+E33+E35+E40+E41+E42+E43+E44+E45+E47+E46+E34</f>
        <v>4389459.9849999994</v>
      </c>
      <c r="F48" s="91">
        <f>SUM(G48:N48)</f>
        <v>2889063.1150000002</v>
      </c>
      <c r="G48" s="91">
        <f>G7+G8+G9+G14+G21+G27+G28+G29+G30+G31+G32+G33+G35+G40+G41+G42+G43+G44+G45+G47+G46+G34</f>
        <v>303539.72700000007</v>
      </c>
      <c r="H48" s="91">
        <f t="shared" ref="H48:N48" si="55">H7+H8+H9+H14+H21+H27+H28+H29+H30+H31+H32+H33+H35+H40+H41+H42+H43+H44+H45+H47+H46+H34+H20</f>
        <v>382603.97200000001</v>
      </c>
      <c r="I48" s="91">
        <f t="shared" si="55"/>
        <v>298934.25100000005</v>
      </c>
      <c r="J48" s="91">
        <f t="shared" si="55"/>
        <v>326149.27299999999</v>
      </c>
      <c r="K48" s="91">
        <f t="shared" si="55"/>
        <v>384494.11599999998</v>
      </c>
      <c r="L48" s="91">
        <f t="shared" si="55"/>
        <v>383600.88300000003</v>
      </c>
      <c r="M48" s="91">
        <f t="shared" ref="M48" si="56">M7+M8+M9+M14+M21+M27+M28+M29+M30+M31+M32+M33+M35+M40+M41+M42+M43+M44+M45+M47+M46+M34+M20</f>
        <v>415635.37599999999</v>
      </c>
      <c r="N48" s="91">
        <f t="shared" si="55"/>
        <v>394105.51699999993</v>
      </c>
      <c r="O48" s="91">
        <f>O7+O8+O9+O14+O21+O27+O28+O29+O30+O31+O32+O33+O35+O40+O41+O42+O43+O44+O45+O47+O46+O34</f>
        <v>2812189.1</v>
      </c>
      <c r="P48" s="92">
        <f t="shared" si="52"/>
        <v>76874.01500000013</v>
      </c>
      <c r="Q48" s="93">
        <f>F48/O48*100</f>
        <v>102.73360048938387</v>
      </c>
      <c r="R48" s="91">
        <f>R7+R8+R9+R14+R21+R27+R28+R29+R30+R31+R32+R33+R35+R40+R41+R42+R43+R44+R45+R47+R46+R34</f>
        <v>2926306.6566666667</v>
      </c>
      <c r="S48" s="92">
        <f t="shared" si="53"/>
        <v>-37243.541666666511</v>
      </c>
      <c r="T48" s="93">
        <f t="shared" si="51"/>
        <v>98.727285071719379</v>
      </c>
      <c r="U48" s="93">
        <f t="shared" si="21"/>
        <v>65.818190047812919</v>
      </c>
      <c r="V48" s="91">
        <f>V7+V8+V9+V14+V21+V27+V28+V29+V30+V31+V32+V33+V35+V40+V41+V42+V43+V44+V45+V47+V46+V34</f>
        <v>2366604.7240000004</v>
      </c>
      <c r="W48" s="92">
        <f t="shared" si="54"/>
        <v>522458.39099999983</v>
      </c>
      <c r="X48" s="93">
        <f>F48/V48*100</f>
        <v>122.07628446363228</v>
      </c>
      <c r="Y48" s="95">
        <v>2366604.7240000004</v>
      </c>
      <c r="Z48" s="95">
        <f>Y48-V48</f>
        <v>0</v>
      </c>
      <c r="AC48" s="95" t="e">
        <f>#REF!-#REF!-#REF!</f>
        <v>#REF!</v>
      </c>
      <c r="AE48" s="94">
        <v>294547.38299999997</v>
      </c>
    </row>
    <row r="49" spans="1:28" s="10" customFormat="1" ht="23.25" x14ac:dyDescent="0.25">
      <c r="A49" s="24">
        <v>1</v>
      </c>
      <c r="B49" s="63" t="s">
        <v>126</v>
      </c>
      <c r="C49" s="25" t="s">
        <v>54</v>
      </c>
      <c r="D49" s="133">
        <v>855684.1</v>
      </c>
      <c r="E49" s="133">
        <v>770115.7</v>
      </c>
      <c r="F49" s="124">
        <f>SUM(G49:N49)</f>
        <v>537384.80000000005</v>
      </c>
      <c r="G49" s="123">
        <v>65887.7</v>
      </c>
      <c r="H49" s="123">
        <v>65887.7</v>
      </c>
      <c r="I49" s="123">
        <v>65887.7</v>
      </c>
      <c r="J49" s="123">
        <v>65887.7</v>
      </c>
      <c r="K49" s="123">
        <v>83001.399999999994</v>
      </c>
      <c r="L49" s="123">
        <v>135324.4</v>
      </c>
      <c r="M49" s="123">
        <v>27767.9</v>
      </c>
      <c r="N49" s="123">
        <v>27740.3</v>
      </c>
      <c r="O49" s="123">
        <v>537384.80000000005</v>
      </c>
      <c r="P49" s="126">
        <f t="shared" si="52"/>
        <v>0</v>
      </c>
      <c r="Q49" s="127">
        <f>F49/O49*100</f>
        <v>100</v>
      </c>
      <c r="R49" s="123">
        <f>E49</f>
        <v>770115.7</v>
      </c>
      <c r="S49" s="126">
        <f>F49-R49</f>
        <v>-232730.89999999991</v>
      </c>
      <c r="T49" s="127">
        <f>F49/R49*100</f>
        <v>69.779748679321827</v>
      </c>
      <c r="U49" s="127">
        <f>F49/E49*100</f>
        <v>69.779748679321827</v>
      </c>
      <c r="V49" s="124">
        <v>468582.20000000007</v>
      </c>
      <c r="W49" s="126">
        <f t="shared" si="54"/>
        <v>68802.599999999977</v>
      </c>
      <c r="X49" s="127">
        <f>F49/V49*100</f>
        <v>114.6831441740638</v>
      </c>
      <c r="Y49" s="44"/>
      <c r="Z49" s="44"/>
      <c r="AA49" s="44"/>
      <c r="AB49" s="46"/>
    </row>
    <row r="50" spans="1:28" s="10" customFormat="1" ht="39" x14ac:dyDescent="0.25">
      <c r="A50" s="24">
        <f>A49+1</f>
        <v>2</v>
      </c>
      <c r="B50" s="63" t="s">
        <v>176</v>
      </c>
      <c r="C50" s="25" t="s">
        <v>177</v>
      </c>
      <c r="D50" s="133">
        <v>0</v>
      </c>
      <c r="E50" s="133">
        <f t="shared" ref="E50:E56" si="57">D50</f>
        <v>0</v>
      </c>
      <c r="F50" s="124">
        <f t="shared" si="19"/>
        <v>0</v>
      </c>
      <c r="G50" s="123">
        <v>0</v>
      </c>
      <c r="H50" s="123">
        <v>0</v>
      </c>
      <c r="I50" s="123">
        <v>0</v>
      </c>
      <c r="J50" s="123">
        <v>0</v>
      </c>
      <c r="K50" s="123">
        <v>0</v>
      </c>
      <c r="L50" s="123">
        <v>0</v>
      </c>
      <c r="M50" s="123">
        <v>0</v>
      </c>
      <c r="N50" s="123">
        <v>0</v>
      </c>
      <c r="O50" s="123">
        <v>0</v>
      </c>
      <c r="P50" s="126">
        <f t="shared" si="52"/>
        <v>0</v>
      </c>
      <c r="Q50" s="127"/>
      <c r="R50" s="123">
        <f t="shared" ref="R50:R63" si="58">E50</f>
        <v>0</v>
      </c>
      <c r="S50" s="126">
        <f t="shared" si="53"/>
        <v>0</v>
      </c>
      <c r="T50" s="127"/>
      <c r="U50" s="127"/>
      <c r="V50" s="124">
        <v>8790</v>
      </c>
      <c r="W50" s="126">
        <f t="shared" si="54"/>
        <v>-8790</v>
      </c>
      <c r="X50" s="127"/>
      <c r="Y50" s="44"/>
      <c r="Z50" s="44"/>
      <c r="AA50" s="44"/>
      <c r="AB50" s="46"/>
    </row>
    <row r="51" spans="1:28" s="10" customFormat="1" ht="58.5" x14ac:dyDescent="0.25">
      <c r="A51" s="24">
        <f t="shared" ref="A51:A57" si="59">A50+1</f>
        <v>3</v>
      </c>
      <c r="B51" s="152" t="s">
        <v>127</v>
      </c>
      <c r="C51" s="154" t="s">
        <v>111</v>
      </c>
      <c r="D51" s="133">
        <v>29000</v>
      </c>
      <c r="E51" s="133">
        <f t="shared" si="57"/>
        <v>29000</v>
      </c>
      <c r="F51" s="124">
        <f t="shared" si="19"/>
        <v>19333.600000000002</v>
      </c>
      <c r="G51" s="123">
        <v>2416.6999999999998</v>
      </c>
      <c r="H51" s="123">
        <v>2416.6999999999998</v>
      </c>
      <c r="I51" s="123">
        <v>2416.6999999999998</v>
      </c>
      <c r="J51" s="123">
        <v>2416.6999999999998</v>
      </c>
      <c r="K51" s="123">
        <v>2416.6999999999998</v>
      </c>
      <c r="L51" s="123">
        <v>2416.6999999999998</v>
      </c>
      <c r="M51" s="123">
        <v>2416.6999999999998</v>
      </c>
      <c r="N51" s="123">
        <v>2416.6999999999998</v>
      </c>
      <c r="O51" s="123">
        <v>19333.599999999999</v>
      </c>
      <c r="P51" s="126">
        <f t="shared" si="52"/>
        <v>0</v>
      </c>
      <c r="Q51" s="127">
        <f>F51/O51*100</f>
        <v>100.00000000000003</v>
      </c>
      <c r="R51" s="123">
        <f t="shared" si="58"/>
        <v>29000</v>
      </c>
      <c r="S51" s="126">
        <f t="shared" si="53"/>
        <v>-9666.3999999999978</v>
      </c>
      <c r="T51" s="127">
        <f t="shared" ref="T51" si="60">F51/R51*100</f>
        <v>66.667586206896559</v>
      </c>
      <c r="U51" s="127">
        <f t="shared" si="21"/>
        <v>66.667586206896559</v>
      </c>
      <c r="V51" s="124">
        <v>0</v>
      </c>
      <c r="W51" s="126">
        <f t="shared" si="54"/>
        <v>19333.600000000002</v>
      </c>
      <c r="X51" s="127"/>
      <c r="Y51" s="44"/>
      <c r="Z51" s="44"/>
      <c r="AA51" s="44"/>
      <c r="AB51" s="46"/>
    </row>
    <row r="52" spans="1:28" s="10" customFormat="1" ht="34.5" customHeight="1" x14ac:dyDescent="0.25">
      <c r="A52" s="24">
        <f t="shared" si="59"/>
        <v>4</v>
      </c>
      <c r="B52" s="152" t="s">
        <v>184</v>
      </c>
      <c r="C52" s="154">
        <v>41040400</v>
      </c>
      <c r="D52" s="133">
        <v>0</v>
      </c>
      <c r="E52" s="133">
        <v>4094.6219999999998</v>
      </c>
      <c r="F52" s="124">
        <f t="shared" si="19"/>
        <v>4094.6220000000003</v>
      </c>
      <c r="G52" s="123">
        <v>0</v>
      </c>
      <c r="H52" s="123">
        <v>0</v>
      </c>
      <c r="I52" s="123">
        <v>0</v>
      </c>
      <c r="J52" s="123">
        <v>0</v>
      </c>
      <c r="K52" s="123">
        <v>0</v>
      </c>
      <c r="L52" s="123">
        <v>0</v>
      </c>
      <c r="M52" s="123">
        <v>3036.239</v>
      </c>
      <c r="N52" s="123">
        <v>1058.383</v>
      </c>
      <c r="O52" s="123">
        <v>4094.6219999999998</v>
      </c>
      <c r="P52" s="126">
        <f t="shared" si="52"/>
        <v>0</v>
      </c>
      <c r="Q52" s="127">
        <f>F52/O52*100</f>
        <v>100.00000000000003</v>
      </c>
      <c r="R52" s="123">
        <f t="shared" si="58"/>
        <v>4094.6219999999998</v>
      </c>
      <c r="S52" s="126">
        <f t="shared" si="53"/>
        <v>0</v>
      </c>
      <c r="T52" s="127">
        <f t="shared" ref="T52" si="61">F52/R52*100</f>
        <v>100.00000000000003</v>
      </c>
      <c r="U52" s="127">
        <f>F52/E52*100</f>
        <v>100.00000000000003</v>
      </c>
      <c r="V52" s="124">
        <v>0</v>
      </c>
      <c r="W52" s="126">
        <f t="shared" si="54"/>
        <v>4094.6220000000003</v>
      </c>
      <c r="X52" s="127"/>
      <c r="Y52" s="44"/>
      <c r="Z52" s="44"/>
      <c r="AA52" s="44"/>
      <c r="AB52" s="46"/>
    </row>
    <row r="53" spans="1:28" s="10" customFormat="1" ht="51.75" customHeight="1" x14ac:dyDescent="0.25">
      <c r="A53" s="24">
        <f t="shared" si="59"/>
        <v>5</v>
      </c>
      <c r="B53" s="152" t="s">
        <v>130</v>
      </c>
      <c r="C53" s="154" t="s">
        <v>120</v>
      </c>
      <c r="D53" s="133">
        <v>16764.740000000002</v>
      </c>
      <c r="E53" s="133">
        <v>13810.54</v>
      </c>
      <c r="F53" s="124">
        <f t="shared" si="19"/>
        <v>9953.8419999999987</v>
      </c>
      <c r="G53" s="123">
        <v>1290.8869999999999</v>
      </c>
      <c r="H53" s="123">
        <v>1290.886</v>
      </c>
      <c r="I53" s="123">
        <v>1290.886</v>
      </c>
      <c r="J53" s="123">
        <v>1290.886</v>
      </c>
      <c r="K53" s="123">
        <v>1626.181</v>
      </c>
      <c r="L53" s="123">
        <v>2244.3270000000002</v>
      </c>
      <c r="M53" s="123">
        <v>460.36399999999998</v>
      </c>
      <c r="N53" s="123">
        <v>459.42500000000001</v>
      </c>
      <c r="O53" s="125">
        <v>9953.8420000000006</v>
      </c>
      <c r="P53" s="126">
        <f t="shared" si="52"/>
        <v>0</v>
      </c>
      <c r="Q53" s="127">
        <f>F53/O53*100</f>
        <v>99.999999999999972</v>
      </c>
      <c r="R53" s="123">
        <f t="shared" si="58"/>
        <v>13810.54</v>
      </c>
      <c r="S53" s="126">
        <f t="shared" si="53"/>
        <v>-3856.6980000000021</v>
      </c>
      <c r="T53" s="127">
        <f>F53/R53*100</f>
        <v>72.074241847168878</v>
      </c>
      <c r="U53" s="127">
        <f t="shared" si="21"/>
        <v>72.074241847168878</v>
      </c>
      <c r="V53" s="124">
        <v>7490.7360000000008</v>
      </c>
      <c r="W53" s="126">
        <f t="shared" si="54"/>
        <v>2463.1059999999979</v>
      </c>
      <c r="X53" s="127">
        <f>F53/V53*100</f>
        <v>132.88202921582069</v>
      </c>
    </row>
    <row r="54" spans="1:28" s="10" customFormat="1" ht="67.5" customHeight="1" x14ac:dyDescent="0.25">
      <c r="A54" s="24">
        <f t="shared" si="59"/>
        <v>6</v>
      </c>
      <c r="B54" s="152" t="s">
        <v>131</v>
      </c>
      <c r="C54" s="154">
        <v>41051200</v>
      </c>
      <c r="D54" s="133">
        <v>3718.5</v>
      </c>
      <c r="E54" s="133">
        <v>3346.6</v>
      </c>
      <c r="F54" s="124">
        <f t="shared" si="19"/>
        <v>2003.8160000000003</v>
      </c>
      <c r="G54" s="123">
        <v>82.944999999999993</v>
      </c>
      <c r="H54" s="123">
        <v>230.36500000000001</v>
      </c>
      <c r="I54" s="123">
        <v>230.36500000000001</v>
      </c>
      <c r="J54" s="123">
        <v>230.36500000000001</v>
      </c>
      <c r="K54" s="123">
        <v>198.56200000000001</v>
      </c>
      <c r="L54" s="123">
        <v>198.56200000000001</v>
      </c>
      <c r="M54" s="123">
        <v>198.56200000000001</v>
      </c>
      <c r="N54" s="123">
        <v>634.09</v>
      </c>
      <c r="O54" s="125">
        <v>2003.816</v>
      </c>
      <c r="P54" s="126">
        <f t="shared" si="52"/>
        <v>0</v>
      </c>
      <c r="Q54" s="127">
        <f>F54/O54*100</f>
        <v>100.00000000000003</v>
      </c>
      <c r="R54" s="123">
        <f t="shared" si="58"/>
        <v>3346.6</v>
      </c>
      <c r="S54" s="126">
        <f t="shared" si="53"/>
        <v>-1342.7839999999997</v>
      </c>
      <c r="T54" s="127">
        <f>F54/R54*100</f>
        <v>59.876172832128141</v>
      </c>
      <c r="U54" s="127">
        <f t="shared" si="21"/>
        <v>59.876172832128141</v>
      </c>
      <c r="V54" s="124">
        <v>2219.9859999999999</v>
      </c>
      <c r="W54" s="126">
        <f t="shared" si="54"/>
        <v>-216.16999999999962</v>
      </c>
      <c r="X54" s="127">
        <f>F54/V54*100</f>
        <v>90.262551205277887</v>
      </c>
    </row>
    <row r="55" spans="1:28" s="10" customFormat="1" ht="77.25" customHeight="1" x14ac:dyDescent="0.25">
      <c r="A55" s="24">
        <f t="shared" si="59"/>
        <v>7</v>
      </c>
      <c r="B55" s="152" t="s">
        <v>200</v>
      </c>
      <c r="C55" s="154" t="s">
        <v>201</v>
      </c>
      <c r="D55" s="133">
        <v>0</v>
      </c>
      <c r="E55" s="133">
        <v>0</v>
      </c>
      <c r="F55" s="124">
        <f>SUM(G55:N55)</f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5">
        <v>0</v>
      </c>
      <c r="P55" s="126">
        <f t="shared" si="52"/>
        <v>0</v>
      </c>
      <c r="Q55" s="127"/>
      <c r="R55" s="123">
        <f t="shared" si="58"/>
        <v>0</v>
      </c>
      <c r="S55" s="126">
        <f t="shared" si="53"/>
        <v>0</v>
      </c>
      <c r="T55" s="127"/>
      <c r="U55" s="127"/>
      <c r="V55" s="124">
        <v>7302.4260000000004</v>
      </c>
      <c r="W55" s="126">
        <f t="shared" si="54"/>
        <v>-7302.4260000000004</v>
      </c>
      <c r="X55" s="127"/>
    </row>
    <row r="56" spans="1:28" s="10" customFormat="1" ht="73.5" customHeight="1" x14ac:dyDescent="0.25">
      <c r="A56" s="24">
        <f t="shared" si="59"/>
        <v>8</v>
      </c>
      <c r="B56" s="155" t="s">
        <v>142</v>
      </c>
      <c r="C56" s="154" t="s">
        <v>129</v>
      </c>
      <c r="D56" s="133">
        <v>0</v>
      </c>
      <c r="E56" s="133">
        <f t="shared" si="57"/>
        <v>0</v>
      </c>
      <c r="F56" s="124">
        <f t="shared" si="19"/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5">
        <v>0</v>
      </c>
      <c r="P56" s="126">
        <f t="shared" si="52"/>
        <v>0</v>
      </c>
      <c r="Q56" s="127"/>
      <c r="R56" s="123">
        <f t="shared" si="58"/>
        <v>0</v>
      </c>
      <c r="S56" s="126">
        <f t="shared" si="53"/>
        <v>0</v>
      </c>
      <c r="T56" s="127"/>
      <c r="U56" s="127"/>
      <c r="V56" s="124">
        <v>13898.706999999999</v>
      </c>
      <c r="W56" s="126">
        <f t="shared" si="54"/>
        <v>-13898.706999999999</v>
      </c>
      <c r="X56" s="127"/>
      <c r="Y56" s="124"/>
      <c r="Z56" s="124"/>
    </row>
    <row r="57" spans="1:28" s="10" customFormat="1" ht="42" customHeight="1" x14ac:dyDescent="0.25">
      <c r="A57" s="24">
        <f t="shared" si="59"/>
        <v>9</v>
      </c>
      <c r="B57" s="155" t="s">
        <v>128</v>
      </c>
      <c r="C57" s="154" t="s">
        <v>112</v>
      </c>
      <c r="D57" s="133">
        <f>SUM(D58:D61)</f>
        <v>4144</v>
      </c>
      <c r="E57" s="133">
        <f>SUM(E58:E61)</f>
        <v>4144</v>
      </c>
      <c r="F57" s="124">
        <f t="shared" si="19"/>
        <v>1771.9230000000002</v>
      </c>
      <c r="G57" s="123">
        <f t="shared" ref="G57:N57" si="62">SUM(G58:G61)</f>
        <v>0</v>
      </c>
      <c r="H57" s="123">
        <f t="shared" si="62"/>
        <v>69.319000000000003</v>
      </c>
      <c r="I57" s="123">
        <f t="shared" si="62"/>
        <v>2.609</v>
      </c>
      <c r="J57" s="123">
        <f t="shared" si="62"/>
        <v>835.69900000000007</v>
      </c>
      <c r="K57" s="123">
        <f t="shared" ref="K57:M57" si="63">SUM(K58:K61)</f>
        <v>575.18200000000002</v>
      </c>
      <c r="L57" s="123">
        <f t="shared" si="63"/>
        <v>141.405</v>
      </c>
      <c r="M57" s="123">
        <f t="shared" si="63"/>
        <v>47.177999999999997</v>
      </c>
      <c r="N57" s="123">
        <f t="shared" si="62"/>
        <v>100.53100000000001</v>
      </c>
      <c r="O57" s="123">
        <f>SUM(O58:O63)</f>
        <v>2536.578</v>
      </c>
      <c r="P57" s="126">
        <f t="shared" si="52"/>
        <v>-764.65499999999975</v>
      </c>
      <c r="Q57" s="127">
        <f t="shared" ref="Q57:Q61" si="64">F57/O57*100</f>
        <v>69.854859578534558</v>
      </c>
      <c r="R57" s="123">
        <f t="shared" si="58"/>
        <v>4144</v>
      </c>
      <c r="S57" s="126">
        <f t="shared" si="53"/>
        <v>-2372.0769999999998</v>
      </c>
      <c r="T57" s="127">
        <f t="shared" ref="T57:T61" si="65">F57/R57*100</f>
        <v>42.75875965250966</v>
      </c>
      <c r="U57" s="127">
        <f t="shared" si="21"/>
        <v>42.75875965250966</v>
      </c>
      <c r="V57" s="124">
        <f>SUM(V58:V63)</f>
        <v>2270.2349999999997</v>
      </c>
      <c r="W57" s="126">
        <f t="shared" si="54"/>
        <v>-498.31199999999944</v>
      </c>
      <c r="X57" s="127">
        <f>F57/V57*100</f>
        <v>78.050201851350209</v>
      </c>
      <c r="Y57" s="124">
        <v>5098.8379999999997</v>
      </c>
      <c r="Z57" s="124">
        <f>Y57-V57</f>
        <v>2828.6030000000001</v>
      </c>
    </row>
    <row r="58" spans="1:28" s="43" customFormat="1" ht="57" customHeight="1" x14ac:dyDescent="0.25">
      <c r="A58" s="42" t="s">
        <v>163</v>
      </c>
      <c r="B58" s="153" t="s">
        <v>143</v>
      </c>
      <c r="C58" s="110"/>
      <c r="D58" s="134">
        <v>105</v>
      </c>
      <c r="E58" s="134">
        <f t="shared" ref="E58:E63" si="66">D58</f>
        <v>105</v>
      </c>
      <c r="F58" s="129">
        <f t="shared" si="19"/>
        <v>37.786000000000001</v>
      </c>
      <c r="G58" s="128">
        <v>0</v>
      </c>
      <c r="H58" s="128">
        <v>10.734999999999999</v>
      </c>
      <c r="I58" s="128">
        <v>2.609</v>
      </c>
      <c r="J58" s="128">
        <f>11.002</f>
        <v>11.002000000000001</v>
      </c>
      <c r="K58" s="128">
        <v>7.4420000000000002</v>
      </c>
      <c r="L58" s="128">
        <f>2.763</f>
        <v>2.7629999999999999</v>
      </c>
      <c r="M58" s="128"/>
      <c r="N58" s="128">
        <v>3.2349999999999999</v>
      </c>
      <c r="O58" s="130">
        <v>70.016000000000005</v>
      </c>
      <c r="P58" s="131">
        <f t="shared" si="52"/>
        <v>-32.230000000000004</v>
      </c>
      <c r="Q58" s="132">
        <f t="shared" si="64"/>
        <v>53.967664533820837</v>
      </c>
      <c r="R58" s="128">
        <f t="shared" si="58"/>
        <v>105</v>
      </c>
      <c r="S58" s="131">
        <f t="shared" si="53"/>
        <v>-67.213999999999999</v>
      </c>
      <c r="T58" s="132">
        <f t="shared" si="65"/>
        <v>35.986666666666665</v>
      </c>
      <c r="U58" s="132">
        <f t="shared" si="21"/>
        <v>35.986666666666665</v>
      </c>
      <c r="V58" s="129">
        <v>64.563000000000002</v>
      </c>
      <c r="W58" s="131">
        <f t="shared" si="54"/>
        <v>-26.777000000000001</v>
      </c>
      <c r="X58" s="132">
        <f t="shared" ref="X58:X61" si="67">F58/V58*100</f>
        <v>58.525781020088907</v>
      </c>
    </row>
    <row r="59" spans="1:28" s="43" customFormat="1" ht="54" customHeight="1" x14ac:dyDescent="0.25">
      <c r="A59" s="42" t="s">
        <v>164</v>
      </c>
      <c r="B59" s="153" t="s">
        <v>144</v>
      </c>
      <c r="C59" s="110"/>
      <c r="D59" s="134">
        <v>1246.7</v>
      </c>
      <c r="E59" s="134">
        <f t="shared" si="66"/>
        <v>1246.7</v>
      </c>
      <c r="F59" s="129">
        <f t="shared" si="19"/>
        <v>665.04000000000008</v>
      </c>
      <c r="G59" s="128">
        <v>0</v>
      </c>
      <c r="H59" s="128">
        <v>58.584000000000003</v>
      </c>
      <c r="I59" s="128">
        <v>0</v>
      </c>
      <c r="J59" s="128">
        <f>65.714+117.526</f>
        <v>183.24</v>
      </c>
      <c r="K59" s="128">
        <v>140.1</v>
      </c>
      <c r="L59" s="128">
        <v>138.642</v>
      </c>
      <c r="M59" s="128">
        <v>47.177999999999997</v>
      </c>
      <c r="N59" s="128">
        <v>97.296000000000006</v>
      </c>
      <c r="O59" s="130">
        <v>665.04100000000005</v>
      </c>
      <c r="P59" s="131">
        <f t="shared" si="52"/>
        <v>-9.9999999997635314E-4</v>
      </c>
      <c r="Q59" s="132">
        <f t="shared" si="64"/>
        <v>99.999849633330882</v>
      </c>
      <c r="R59" s="128">
        <f t="shared" si="58"/>
        <v>1246.7</v>
      </c>
      <c r="S59" s="131">
        <f t="shared" si="53"/>
        <v>-581.66</v>
      </c>
      <c r="T59" s="132">
        <f t="shared" si="65"/>
        <v>53.344028234539188</v>
      </c>
      <c r="U59" s="132">
        <f t="shared" si="21"/>
        <v>53.344028234539188</v>
      </c>
      <c r="V59" s="129">
        <v>665.02299999999991</v>
      </c>
      <c r="W59" s="131">
        <f t="shared" si="54"/>
        <v>1.7000000000166438E-2</v>
      </c>
      <c r="X59" s="132">
        <f t="shared" si="67"/>
        <v>100.002556302564</v>
      </c>
    </row>
    <row r="60" spans="1:28" s="43" customFormat="1" ht="79.5" x14ac:dyDescent="0.25">
      <c r="A60" s="42" t="s">
        <v>165</v>
      </c>
      <c r="B60" s="153" t="s">
        <v>145</v>
      </c>
      <c r="C60" s="110"/>
      <c r="D60" s="134">
        <v>292.3</v>
      </c>
      <c r="E60" s="134">
        <f t="shared" si="66"/>
        <v>292.3</v>
      </c>
      <c r="F60" s="129">
        <f t="shared" si="19"/>
        <v>146.136</v>
      </c>
      <c r="G60" s="128">
        <v>0</v>
      </c>
      <c r="H60" s="128">
        <v>0</v>
      </c>
      <c r="I60" s="128">
        <v>0</v>
      </c>
      <c r="J60" s="128">
        <v>146.136</v>
      </c>
      <c r="K60" s="128">
        <v>0</v>
      </c>
      <c r="L60" s="128">
        <v>0</v>
      </c>
      <c r="M60" s="128"/>
      <c r="N60" s="128">
        <v>0</v>
      </c>
      <c r="O60" s="130">
        <v>243.56</v>
      </c>
      <c r="P60" s="131">
        <f t="shared" si="52"/>
        <v>-97.424000000000007</v>
      </c>
      <c r="Q60" s="132">
        <f t="shared" si="64"/>
        <v>60</v>
      </c>
      <c r="R60" s="128">
        <f t="shared" si="58"/>
        <v>292.3</v>
      </c>
      <c r="S60" s="131">
        <f t="shared" si="53"/>
        <v>-146.16400000000002</v>
      </c>
      <c r="T60" s="132">
        <f t="shared" si="65"/>
        <v>49.995210400273685</v>
      </c>
      <c r="U60" s="132">
        <f t="shared" si="21"/>
        <v>49.995210400273685</v>
      </c>
      <c r="V60" s="129">
        <v>146.136</v>
      </c>
      <c r="W60" s="131">
        <f t="shared" si="54"/>
        <v>0</v>
      </c>
      <c r="X60" s="132">
        <f t="shared" si="67"/>
        <v>100</v>
      </c>
    </row>
    <row r="61" spans="1:28" s="43" customFormat="1" ht="60" x14ac:dyDescent="0.25">
      <c r="A61" s="42" t="s">
        <v>166</v>
      </c>
      <c r="B61" s="153" t="s">
        <v>146</v>
      </c>
      <c r="C61" s="110"/>
      <c r="D61" s="134">
        <v>2500</v>
      </c>
      <c r="E61" s="134">
        <f t="shared" si="66"/>
        <v>2500</v>
      </c>
      <c r="F61" s="129">
        <f t="shared" si="19"/>
        <v>922.96100000000001</v>
      </c>
      <c r="G61" s="128">
        <v>0</v>
      </c>
      <c r="H61" s="128">
        <v>0</v>
      </c>
      <c r="I61" s="128">
        <v>0</v>
      </c>
      <c r="J61" s="128">
        <v>495.32100000000003</v>
      </c>
      <c r="K61" s="128">
        <f>415.779+11.861</f>
        <v>427.64</v>
      </c>
      <c r="L61" s="128">
        <v>0</v>
      </c>
      <c r="M61" s="128"/>
      <c r="N61" s="128">
        <v>0</v>
      </c>
      <c r="O61" s="130">
        <v>1557.961</v>
      </c>
      <c r="P61" s="131">
        <f t="shared" si="52"/>
        <v>-635</v>
      </c>
      <c r="Q61" s="132">
        <f t="shared" si="64"/>
        <v>59.241598473902748</v>
      </c>
      <c r="R61" s="128">
        <f t="shared" si="58"/>
        <v>2500</v>
      </c>
      <c r="S61" s="131">
        <f t="shared" si="53"/>
        <v>-1577.039</v>
      </c>
      <c r="T61" s="132">
        <f t="shared" si="65"/>
        <v>36.918440000000004</v>
      </c>
      <c r="U61" s="132">
        <f t="shared" si="21"/>
        <v>36.918440000000004</v>
      </c>
      <c r="V61" s="129">
        <v>444.28499999999997</v>
      </c>
      <c r="W61" s="131">
        <f t="shared" si="54"/>
        <v>478.67600000000004</v>
      </c>
      <c r="X61" s="132">
        <f t="shared" si="67"/>
        <v>207.74075199477812</v>
      </c>
    </row>
    <row r="62" spans="1:28" s="43" customFormat="1" ht="59.25" x14ac:dyDescent="0.25">
      <c r="A62" s="42" t="s">
        <v>182</v>
      </c>
      <c r="B62" s="153" t="s">
        <v>173</v>
      </c>
      <c r="C62" s="110"/>
      <c r="D62" s="134">
        <v>0</v>
      </c>
      <c r="E62" s="134">
        <f t="shared" si="66"/>
        <v>0</v>
      </c>
      <c r="F62" s="129">
        <f t="shared" si="19"/>
        <v>0</v>
      </c>
      <c r="G62" s="128">
        <v>0</v>
      </c>
      <c r="H62" s="128">
        <v>0</v>
      </c>
      <c r="I62" s="128">
        <v>0</v>
      </c>
      <c r="J62" s="128">
        <v>0</v>
      </c>
      <c r="K62" s="128">
        <v>0</v>
      </c>
      <c r="L62" s="128">
        <v>0</v>
      </c>
      <c r="M62" s="128"/>
      <c r="N62" s="128">
        <v>0</v>
      </c>
      <c r="O62" s="130">
        <v>0</v>
      </c>
      <c r="P62" s="131">
        <f t="shared" si="52"/>
        <v>0</v>
      </c>
      <c r="Q62" s="132"/>
      <c r="R62" s="128">
        <f t="shared" si="58"/>
        <v>0</v>
      </c>
      <c r="S62" s="131">
        <f t="shared" si="53"/>
        <v>0</v>
      </c>
      <c r="T62" s="132"/>
      <c r="U62" s="132"/>
      <c r="V62" s="129">
        <v>925.22800000000007</v>
      </c>
      <c r="W62" s="131">
        <f t="shared" si="54"/>
        <v>-925.22800000000007</v>
      </c>
      <c r="X62" s="132"/>
    </row>
    <row r="63" spans="1:28" s="43" customFormat="1" ht="158.25" x14ac:dyDescent="0.25">
      <c r="A63" s="42" t="s">
        <v>183</v>
      </c>
      <c r="B63" s="153" t="s">
        <v>178</v>
      </c>
      <c r="C63" s="110"/>
      <c r="D63" s="134">
        <v>0</v>
      </c>
      <c r="E63" s="134">
        <f t="shared" si="66"/>
        <v>0</v>
      </c>
      <c r="F63" s="129">
        <f t="shared" si="19"/>
        <v>0</v>
      </c>
      <c r="G63" s="130">
        <v>0</v>
      </c>
      <c r="H63" s="130">
        <v>0</v>
      </c>
      <c r="I63" s="130">
        <v>0</v>
      </c>
      <c r="J63" s="130">
        <v>0</v>
      </c>
      <c r="K63" s="130">
        <v>0</v>
      </c>
      <c r="L63" s="128">
        <v>0</v>
      </c>
      <c r="M63" s="128"/>
      <c r="N63" s="128">
        <v>0</v>
      </c>
      <c r="O63" s="130">
        <v>0</v>
      </c>
      <c r="P63" s="131">
        <f t="shared" si="52"/>
        <v>0</v>
      </c>
      <c r="Q63" s="132"/>
      <c r="R63" s="128">
        <f t="shared" si="58"/>
        <v>0</v>
      </c>
      <c r="S63" s="131">
        <f t="shared" si="53"/>
        <v>0</v>
      </c>
      <c r="T63" s="132"/>
      <c r="U63" s="132"/>
      <c r="V63" s="129">
        <v>25</v>
      </c>
      <c r="W63" s="131">
        <f t="shared" si="54"/>
        <v>-25</v>
      </c>
      <c r="X63" s="132"/>
    </row>
    <row r="64" spans="1:28" s="50" customFormat="1" ht="32.25" customHeight="1" x14ac:dyDescent="0.3">
      <c r="A64" s="47"/>
      <c r="B64" s="51" t="s">
        <v>28</v>
      </c>
      <c r="C64" s="48"/>
      <c r="D64" s="49">
        <f>D67+D66</f>
        <v>909311.34</v>
      </c>
      <c r="E64" s="49">
        <f>E67+E66</f>
        <v>824511.46199999994</v>
      </c>
      <c r="F64" s="49">
        <f t="shared" si="19"/>
        <v>574542.60299999989</v>
      </c>
      <c r="G64" s="49">
        <f t="shared" ref="G64:O64" si="68">G67+G66</f>
        <v>69678.231999999989</v>
      </c>
      <c r="H64" s="49">
        <f t="shared" si="68"/>
        <v>69894.97</v>
      </c>
      <c r="I64" s="49">
        <f t="shared" si="68"/>
        <v>69828.259999999995</v>
      </c>
      <c r="J64" s="49">
        <f t="shared" si="68"/>
        <v>70661.349999999991</v>
      </c>
      <c r="K64" s="49">
        <f t="shared" ref="K64:M64" si="69">K67+K66</f>
        <v>87818.024999999994</v>
      </c>
      <c r="L64" s="49">
        <f t="shared" si="69"/>
        <v>140325.394</v>
      </c>
      <c r="M64" s="49">
        <f t="shared" si="69"/>
        <v>33926.942999999999</v>
      </c>
      <c r="N64" s="49">
        <f t="shared" si="68"/>
        <v>32409.428999999996</v>
      </c>
      <c r="O64" s="49">
        <f t="shared" si="68"/>
        <v>575307.25800000003</v>
      </c>
      <c r="P64" s="92">
        <f>F64-O64</f>
        <v>-764.65500000014435</v>
      </c>
      <c r="Q64" s="93">
        <f>F64/O64*100</f>
        <v>99.86708754506968</v>
      </c>
      <c r="R64" s="49">
        <f>R67+R66</f>
        <v>820416.84</v>
      </c>
      <c r="S64" s="92">
        <f>F64-R64</f>
        <v>-245874.23700000008</v>
      </c>
      <c r="T64" s="93">
        <f>F64/R64*100</f>
        <v>70.030571654282454</v>
      </c>
      <c r="U64" s="93">
        <f t="shared" si="21"/>
        <v>69.682791504965152</v>
      </c>
      <c r="V64" s="49">
        <f>V67+V66</f>
        <v>510554.2900000001</v>
      </c>
      <c r="W64" s="92">
        <f>F64-V64</f>
        <v>63988.312999999791</v>
      </c>
      <c r="X64" s="93">
        <f>F64/V64*100</f>
        <v>112.53310651840762</v>
      </c>
    </row>
    <row r="65" spans="1:29" s="13" customFormat="1" ht="23.25" hidden="1" x14ac:dyDescent="0.25">
      <c r="A65" s="12"/>
      <c r="B65" s="176" t="s">
        <v>98</v>
      </c>
      <c r="C65" s="11"/>
      <c r="D65" s="135"/>
      <c r="E65" s="135"/>
      <c r="F65" s="136"/>
      <c r="G65" s="135"/>
      <c r="H65" s="135"/>
      <c r="I65" s="135"/>
      <c r="J65" s="135"/>
      <c r="K65" s="135"/>
      <c r="L65" s="135"/>
      <c r="M65" s="135"/>
      <c r="N65" s="135"/>
      <c r="O65" s="135"/>
      <c r="P65" s="126"/>
      <c r="Q65" s="127"/>
      <c r="R65" s="135"/>
      <c r="S65" s="96"/>
      <c r="T65" s="97"/>
      <c r="U65" s="97"/>
      <c r="V65" s="136"/>
      <c r="W65" s="96"/>
      <c r="X65" s="97"/>
    </row>
    <row r="66" spans="1:29" s="13" customFormat="1" ht="48" hidden="1" customHeight="1" x14ac:dyDescent="0.25">
      <c r="A66" s="12"/>
      <c r="B66" s="183" t="s">
        <v>113</v>
      </c>
      <c r="C66" s="26"/>
      <c r="D66" s="58">
        <f t="shared" ref="D66:E66" si="70">D51+D52</f>
        <v>29000</v>
      </c>
      <c r="E66" s="58">
        <f t="shared" si="70"/>
        <v>33094.622000000003</v>
      </c>
      <c r="F66" s="49">
        <f t="shared" si="19"/>
        <v>23428.222000000002</v>
      </c>
      <c r="G66" s="58">
        <f t="shared" ref="G66:N66" si="71">G51+G52</f>
        <v>2416.6999999999998</v>
      </c>
      <c r="H66" s="58">
        <f t="shared" si="71"/>
        <v>2416.6999999999998</v>
      </c>
      <c r="I66" s="58">
        <f t="shared" si="71"/>
        <v>2416.6999999999998</v>
      </c>
      <c r="J66" s="58">
        <f t="shared" si="71"/>
        <v>2416.6999999999998</v>
      </c>
      <c r="K66" s="58">
        <f t="shared" si="71"/>
        <v>2416.6999999999998</v>
      </c>
      <c r="L66" s="58">
        <f t="shared" si="71"/>
        <v>2416.6999999999998</v>
      </c>
      <c r="M66" s="58">
        <f t="shared" ref="M66" si="72">M51+M52</f>
        <v>5452.9390000000003</v>
      </c>
      <c r="N66" s="58">
        <f t="shared" si="71"/>
        <v>3475.0829999999996</v>
      </c>
      <c r="O66" s="58">
        <f>O51+O52</f>
        <v>23428.221999999998</v>
      </c>
      <c r="P66" s="96">
        <f>F66-O66</f>
        <v>0</v>
      </c>
      <c r="Q66" s="97">
        <f>F66/O66*100</f>
        <v>100.00000000000003</v>
      </c>
      <c r="R66" s="58">
        <f>R51</f>
        <v>29000</v>
      </c>
      <c r="S66" s="96">
        <f>F66-R66</f>
        <v>-5571.7779999999984</v>
      </c>
      <c r="T66" s="97">
        <f>F66/R66*100</f>
        <v>80.786972413793109</v>
      </c>
      <c r="U66" s="97">
        <f t="shared" si="21"/>
        <v>70.791628923877724</v>
      </c>
      <c r="V66" s="49">
        <f>V51</f>
        <v>0</v>
      </c>
      <c r="W66" s="96">
        <f>F66-V66</f>
        <v>23428.222000000002</v>
      </c>
      <c r="X66" s="97"/>
    </row>
    <row r="67" spans="1:29" s="13" customFormat="1" ht="39" hidden="1" customHeight="1" x14ac:dyDescent="0.25">
      <c r="A67" s="12"/>
      <c r="B67" s="183" t="s">
        <v>71</v>
      </c>
      <c r="C67" s="26"/>
      <c r="D67" s="58">
        <f>D68+D69</f>
        <v>880311.34</v>
      </c>
      <c r="E67" s="58">
        <f>E68+E69</f>
        <v>791416.84</v>
      </c>
      <c r="F67" s="49">
        <f t="shared" si="19"/>
        <v>551114.38099999994</v>
      </c>
      <c r="G67" s="58">
        <f t="shared" ref="G67:O67" si="73">G68+G69</f>
        <v>67261.531999999992</v>
      </c>
      <c r="H67" s="58">
        <f t="shared" si="73"/>
        <v>67478.27</v>
      </c>
      <c r="I67" s="58">
        <f t="shared" si="73"/>
        <v>67411.56</v>
      </c>
      <c r="J67" s="58">
        <f t="shared" si="73"/>
        <v>68244.649999999994</v>
      </c>
      <c r="K67" s="58">
        <f t="shared" ref="K67:M67" si="74">K68+K69</f>
        <v>85401.324999999997</v>
      </c>
      <c r="L67" s="58">
        <f t="shared" si="74"/>
        <v>137908.69399999999</v>
      </c>
      <c r="M67" s="58">
        <f t="shared" si="74"/>
        <v>28474.004000000001</v>
      </c>
      <c r="N67" s="58">
        <f t="shared" si="73"/>
        <v>28934.345999999998</v>
      </c>
      <c r="O67" s="58">
        <f t="shared" si="73"/>
        <v>551879.03600000008</v>
      </c>
      <c r="P67" s="96">
        <f>F67-O67</f>
        <v>-764.65500000014435</v>
      </c>
      <c r="Q67" s="97">
        <f>F67/O67*100</f>
        <v>99.861445180896453</v>
      </c>
      <c r="R67" s="58">
        <f>R68+R69</f>
        <v>791416.84</v>
      </c>
      <c r="S67" s="96">
        <f>F67-R67</f>
        <v>-240302.45900000003</v>
      </c>
      <c r="T67" s="97">
        <f>F67/R67*100</f>
        <v>69.636423329076493</v>
      </c>
      <c r="U67" s="97">
        <f t="shared" si="21"/>
        <v>69.636423329076493</v>
      </c>
      <c r="V67" s="49">
        <f>V68+V69</f>
        <v>510554.2900000001</v>
      </c>
      <c r="W67" s="96">
        <f>F67-V67</f>
        <v>40560.09099999984</v>
      </c>
      <c r="X67" s="97">
        <f>F67/V67*100</f>
        <v>107.94432478473539</v>
      </c>
    </row>
    <row r="68" spans="1:29" s="8" customFormat="1" ht="39" hidden="1" customHeight="1" x14ac:dyDescent="0.25">
      <c r="A68" s="14"/>
      <c r="B68" s="17" t="s">
        <v>102</v>
      </c>
      <c r="C68" s="17"/>
      <c r="D68" s="134">
        <f>D49</f>
        <v>855684.1</v>
      </c>
      <c r="E68" s="134">
        <f>E49</f>
        <v>770115.7</v>
      </c>
      <c r="F68" s="137">
        <f t="shared" si="19"/>
        <v>537384.80000000005</v>
      </c>
      <c r="G68" s="134">
        <f t="shared" ref="G68:O68" si="75">G49</f>
        <v>65887.7</v>
      </c>
      <c r="H68" s="134">
        <f t="shared" si="75"/>
        <v>65887.7</v>
      </c>
      <c r="I68" s="134">
        <f t="shared" si="75"/>
        <v>65887.7</v>
      </c>
      <c r="J68" s="134">
        <f t="shared" si="75"/>
        <v>65887.7</v>
      </c>
      <c r="K68" s="134">
        <f t="shared" ref="K68:M68" si="76">K49</f>
        <v>83001.399999999994</v>
      </c>
      <c r="L68" s="134">
        <f t="shared" si="76"/>
        <v>135324.4</v>
      </c>
      <c r="M68" s="134">
        <f t="shared" si="76"/>
        <v>27767.9</v>
      </c>
      <c r="N68" s="134">
        <f t="shared" si="75"/>
        <v>27740.3</v>
      </c>
      <c r="O68" s="134">
        <f t="shared" si="75"/>
        <v>537384.80000000005</v>
      </c>
      <c r="P68" s="131">
        <f>F68-O68</f>
        <v>0</v>
      </c>
      <c r="Q68" s="132">
        <f>F68/O68*100</f>
        <v>100</v>
      </c>
      <c r="R68" s="134">
        <f>R49</f>
        <v>770115.7</v>
      </c>
      <c r="S68" s="131">
        <f>F68-R68</f>
        <v>-232730.89999999991</v>
      </c>
      <c r="T68" s="132">
        <f>F68/R68*100</f>
        <v>69.779748679321827</v>
      </c>
      <c r="U68" s="132">
        <f t="shared" si="21"/>
        <v>69.779748679321827</v>
      </c>
      <c r="V68" s="137">
        <f>V49+V50</f>
        <v>477372.20000000007</v>
      </c>
      <c r="W68" s="131">
        <f>F68-V68</f>
        <v>60012.599999999977</v>
      </c>
      <c r="X68" s="132">
        <f>F68/V68*100</f>
        <v>112.57144844211706</v>
      </c>
    </row>
    <row r="69" spans="1:29" s="8" customFormat="1" ht="39" hidden="1" customHeight="1" x14ac:dyDescent="0.25">
      <c r="A69" s="14"/>
      <c r="B69" s="177" t="s">
        <v>101</v>
      </c>
      <c r="C69" s="17"/>
      <c r="D69" s="134">
        <f>D53+D57+D54+D56</f>
        <v>24627.24</v>
      </c>
      <c r="E69" s="134">
        <f>E53+E57+E54+E56</f>
        <v>21301.14</v>
      </c>
      <c r="F69" s="137">
        <f t="shared" si="19"/>
        <v>13729.580999999998</v>
      </c>
      <c r="G69" s="134">
        <f t="shared" ref="G69:O69" si="77">G53+G57+G54+G56</f>
        <v>1373.8319999999999</v>
      </c>
      <c r="H69" s="134">
        <f t="shared" si="77"/>
        <v>1590.57</v>
      </c>
      <c r="I69" s="134">
        <f t="shared" si="77"/>
        <v>1523.86</v>
      </c>
      <c r="J69" s="134">
        <f t="shared" si="77"/>
        <v>2356.9499999999998</v>
      </c>
      <c r="K69" s="134">
        <f t="shared" ref="K69:M69" si="78">K53+K57+K54+K56</f>
        <v>2399.9250000000002</v>
      </c>
      <c r="L69" s="134">
        <f t="shared" si="78"/>
        <v>2584.2940000000003</v>
      </c>
      <c r="M69" s="134">
        <f t="shared" si="78"/>
        <v>706.10400000000004</v>
      </c>
      <c r="N69" s="134">
        <f t="shared" si="77"/>
        <v>1194.046</v>
      </c>
      <c r="O69" s="134">
        <f t="shared" si="77"/>
        <v>14494.236000000001</v>
      </c>
      <c r="P69" s="131">
        <f>F69-O69</f>
        <v>-764.65500000000247</v>
      </c>
      <c r="Q69" s="132">
        <f>F69/O69*100</f>
        <v>94.724420107413721</v>
      </c>
      <c r="R69" s="134">
        <f>R53+R57+R54+R56</f>
        <v>21301.14</v>
      </c>
      <c r="S69" s="131">
        <f>F69-R69</f>
        <v>-7571.5590000000011</v>
      </c>
      <c r="T69" s="132">
        <f>F69/R69*100</f>
        <v>64.454677073621397</v>
      </c>
      <c r="U69" s="132">
        <f t="shared" si="21"/>
        <v>64.454677073621397</v>
      </c>
      <c r="V69" s="137">
        <f>V53+V57+V54+V56+V55</f>
        <v>33182.090000000004</v>
      </c>
      <c r="W69" s="131">
        <f>F69-V69</f>
        <v>-19452.509000000005</v>
      </c>
      <c r="X69" s="132">
        <f>F69/V69*100</f>
        <v>41.376480504995307</v>
      </c>
    </row>
    <row r="70" spans="1:29" s="8" customFormat="1" ht="23.25" x14ac:dyDescent="0.25">
      <c r="A70" s="14"/>
      <c r="B70" s="45"/>
      <c r="C70" s="17"/>
      <c r="D70" s="134"/>
      <c r="E70" s="134"/>
      <c r="F70" s="137"/>
      <c r="G70" s="134"/>
      <c r="H70" s="134"/>
      <c r="I70" s="134"/>
      <c r="J70" s="134"/>
      <c r="K70" s="134"/>
      <c r="L70" s="134"/>
      <c r="M70" s="134"/>
      <c r="N70" s="134"/>
      <c r="O70" s="134"/>
      <c r="P70" s="131"/>
      <c r="Q70" s="132"/>
      <c r="R70" s="134"/>
      <c r="S70" s="131"/>
      <c r="T70" s="132"/>
      <c r="U70" s="132"/>
      <c r="V70" s="137"/>
      <c r="W70" s="131"/>
      <c r="X70" s="132"/>
    </row>
    <row r="71" spans="1:29" s="167" customFormat="1" ht="53.25" customHeight="1" x14ac:dyDescent="0.3">
      <c r="A71" s="160"/>
      <c r="B71" s="161" t="s">
        <v>27</v>
      </c>
      <c r="C71" s="162"/>
      <c r="D71" s="163">
        <f>D64+D48</f>
        <v>5298771.3249999993</v>
      </c>
      <c r="E71" s="163">
        <f>E64+E48</f>
        <v>5213971.4469999997</v>
      </c>
      <c r="F71" s="163">
        <f t="shared" si="19"/>
        <v>3463605.7179999999</v>
      </c>
      <c r="G71" s="163">
        <f t="shared" ref="G71:O71" si="79">G64+G48</f>
        <v>373217.95900000003</v>
      </c>
      <c r="H71" s="163">
        <f t="shared" si="79"/>
        <v>452498.94200000004</v>
      </c>
      <c r="I71" s="163">
        <f t="shared" si="79"/>
        <v>368762.51100000006</v>
      </c>
      <c r="J71" s="163">
        <f t="shared" si="79"/>
        <v>396810.62299999996</v>
      </c>
      <c r="K71" s="163">
        <f t="shared" ref="K71:M71" si="80">K64+K48</f>
        <v>472312.14099999995</v>
      </c>
      <c r="L71" s="163">
        <f t="shared" si="80"/>
        <v>523926.277</v>
      </c>
      <c r="M71" s="163">
        <f t="shared" si="80"/>
        <v>449562.31900000002</v>
      </c>
      <c r="N71" s="163">
        <f t="shared" si="79"/>
        <v>426514.94599999994</v>
      </c>
      <c r="O71" s="163">
        <f t="shared" si="79"/>
        <v>3387496.358</v>
      </c>
      <c r="P71" s="164">
        <f>F71-O71</f>
        <v>76109.35999999987</v>
      </c>
      <c r="Q71" s="165">
        <f>F71/O71*100</f>
        <v>102.2467731904791</v>
      </c>
      <c r="R71" s="163">
        <f>R64+R48</f>
        <v>3746723.4966666666</v>
      </c>
      <c r="S71" s="164">
        <f>F71-R71</f>
        <v>-283117.77866666671</v>
      </c>
      <c r="T71" s="165">
        <f>F71/R71*100</f>
        <v>92.443590275115127</v>
      </c>
      <c r="U71" s="165">
        <f t="shared" si="21"/>
        <v>66.429318863893656</v>
      </c>
      <c r="V71" s="163">
        <f>V64+V48</f>
        <v>2877159.0140000004</v>
      </c>
      <c r="W71" s="164">
        <f>F71-V71</f>
        <v>586446.70399999944</v>
      </c>
      <c r="X71" s="165">
        <f>F71/V71*100</f>
        <v>120.38283950057685</v>
      </c>
      <c r="Y71" s="163">
        <v>2877159.0139999995</v>
      </c>
      <c r="Z71" s="166">
        <f>Y71-V71</f>
        <v>0</v>
      </c>
      <c r="AC71" s="166"/>
    </row>
    <row r="72" spans="1:29" s="10" customFormat="1" ht="31.5" customHeight="1" x14ac:dyDescent="0.25">
      <c r="A72" s="191" t="s">
        <v>9</v>
      </c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</row>
    <row r="73" spans="1:29" s="64" customFormat="1" ht="36" customHeight="1" x14ac:dyDescent="0.3">
      <c r="A73" s="24">
        <v>1</v>
      </c>
      <c r="B73" s="63" t="s">
        <v>12</v>
      </c>
      <c r="C73" s="25" t="s">
        <v>21</v>
      </c>
      <c r="D73" s="133">
        <f>D74+D75</f>
        <v>94437.012000000002</v>
      </c>
      <c r="E73" s="133">
        <f t="shared" ref="E73" si="81">D73</f>
        <v>94437.012000000002</v>
      </c>
      <c r="F73" s="124">
        <f t="shared" ref="F73:F108" si="82">SUM(G73:N73)</f>
        <v>90605.956999999995</v>
      </c>
      <c r="G73" s="123">
        <f t="shared" ref="G73:O73" si="83">G74+G75</f>
        <v>6860.3910000000005</v>
      </c>
      <c r="H73" s="123">
        <f t="shared" ref="H73:M73" si="84">H74+H75</f>
        <v>7771.8059999999996</v>
      </c>
      <c r="I73" s="123">
        <f t="shared" si="84"/>
        <v>11164.861000000001</v>
      </c>
      <c r="J73" s="123">
        <f t="shared" si="84"/>
        <v>3259.9669999999996</v>
      </c>
      <c r="K73" s="123">
        <f t="shared" si="84"/>
        <v>9844.509</v>
      </c>
      <c r="L73" s="123">
        <f t="shared" si="84"/>
        <v>37523.394</v>
      </c>
      <c r="M73" s="123">
        <f t="shared" si="84"/>
        <v>6518.8890000000001</v>
      </c>
      <c r="N73" s="123">
        <f t="shared" si="83"/>
        <v>7662.14</v>
      </c>
      <c r="O73" s="125">
        <f t="shared" si="83"/>
        <v>62958.008000000002</v>
      </c>
      <c r="P73" s="126">
        <f t="shared" ref="P73:P88" si="85">F73-O73</f>
        <v>27647.948999999993</v>
      </c>
      <c r="Q73" s="127">
        <f>F73/O73*100</f>
        <v>143.91490435974404</v>
      </c>
      <c r="R73" s="126">
        <f t="shared" ref="R73" si="86">R74+R75</f>
        <v>62958.008000000002</v>
      </c>
      <c r="S73" s="126">
        <f t="shared" ref="S73:S88" si="87">F73-R73</f>
        <v>27647.948999999993</v>
      </c>
      <c r="T73" s="127">
        <f>F73/R73*100</f>
        <v>143.91490435974404</v>
      </c>
      <c r="U73" s="127">
        <f t="shared" si="21"/>
        <v>95.943269573162681</v>
      </c>
      <c r="V73" s="124">
        <f t="shared" ref="V73" si="88">V74+V75</f>
        <v>41816.270000000004</v>
      </c>
      <c r="W73" s="126">
        <f t="shared" ref="W73:W88" si="89">F73-V73</f>
        <v>48789.686999999991</v>
      </c>
      <c r="X73" s="127">
        <f>F73/V73*100</f>
        <v>216.67632478937026</v>
      </c>
    </row>
    <row r="74" spans="1:29" s="67" customFormat="1" ht="39" x14ac:dyDescent="0.3">
      <c r="A74" s="42" t="s">
        <v>118</v>
      </c>
      <c r="B74" s="109" t="s">
        <v>114</v>
      </c>
      <c r="C74" s="17" t="s">
        <v>115</v>
      </c>
      <c r="D74" s="134">
        <v>94437.012000000002</v>
      </c>
      <c r="E74" s="134">
        <f>D74</f>
        <v>94437.012000000002</v>
      </c>
      <c r="F74" s="129">
        <f t="shared" si="82"/>
        <v>64238.576999999997</v>
      </c>
      <c r="G74" s="128">
        <v>5377.3590000000004</v>
      </c>
      <c r="H74" s="128">
        <v>6381.8329999999996</v>
      </c>
      <c r="I74" s="128">
        <v>2956.0810000000001</v>
      </c>
      <c r="J74" s="128">
        <v>2199.915</v>
      </c>
      <c r="K74" s="128">
        <v>2223.1080000000002</v>
      </c>
      <c r="L74" s="128">
        <v>35190.752</v>
      </c>
      <c r="M74" s="128">
        <v>2407.1750000000002</v>
      </c>
      <c r="N74" s="128">
        <v>7502.3540000000003</v>
      </c>
      <c r="O74" s="130">
        <v>62958.008000000002</v>
      </c>
      <c r="P74" s="131">
        <f t="shared" si="85"/>
        <v>1280.5689999999959</v>
      </c>
      <c r="Q74" s="132">
        <f>F74/O74*100</f>
        <v>102.03400495136377</v>
      </c>
      <c r="R74" s="131">
        <f>E74/12*8</f>
        <v>62958.008000000002</v>
      </c>
      <c r="S74" s="131">
        <f t="shared" si="87"/>
        <v>1280.5689999999959</v>
      </c>
      <c r="T74" s="132">
        <f>F74/R74*100</f>
        <v>102.03400495136377</v>
      </c>
      <c r="U74" s="132">
        <f t="shared" si="21"/>
        <v>68.022669967575837</v>
      </c>
      <c r="V74" s="129">
        <v>33969.122000000003</v>
      </c>
      <c r="W74" s="131">
        <f t="shared" si="89"/>
        <v>30269.454999999994</v>
      </c>
      <c r="X74" s="132">
        <f>F74/V74*100</f>
        <v>189.10873528023478</v>
      </c>
    </row>
    <row r="75" spans="1:29" s="67" customFormat="1" ht="23.25" x14ac:dyDescent="0.3">
      <c r="A75" s="42" t="s">
        <v>119</v>
      </c>
      <c r="B75" s="109" t="s">
        <v>116</v>
      </c>
      <c r="C75" s="17" t="s">
        <v>117</v>
      </c>
      <c r="D75" s="134">
        <v>0</v>
      </c>
      <c r="E75" s="134">
        <f>D75</f>
        <v>0</v>
      </c>
      <c r="F75" s="129">
        <f t="shared" si="82"/>
        <v>26367.379999999997</v>
      </c>
      <c r="G75" s="128">
        <v>1483.0319999999999</v>
      </c>
      <c r="H75" s="128">
        <v>1389.973</v>
      </c>
      <c r="I75" s="128">
        <v>8208.7800000000007</v>
      </c>
      <c r="J75" s="128">
        <v>1060.0519999999999</v>
      </c>
      <c r="K75" s="128">
        <v>7621.4009999999998</v>
      </c>
      <c r="L75" s="128">
        <v>2332.6419999999998</v>
      </c>
      <c r="M75" s="128">
        <v>4111.7139999999999</v>
      </c>
      <c r="N75" s="128">
        <v>159.786</v>
      </c>
      <c r="O75" s="130">
        <v>0</v>
      </c>
      <c r="P75" s="131">
        <f t="shared" si="85"/>
        <v>26367.379999999997</v>
      </c>
      <c r="Q75" s="132"/>
      <c r="R75" s="131"/>
      <c r="S75" s="131">
        <f t="shared" si="87"/>
        <v>26367.379999999997</v>
      </c>
      <c r="T75" s="132"/>
      <c r="U75" s="132"/>
      <c r="V75" s="129">
        <v>7847.148000000001</v>
      </c>
      <c r="W75" s="131">
        <f t="shared" si="89"/>
        <v>18520.231999999996</v>
      </c>
      <c r="X75" s="132">
        <f>F75/V75*100</f>
        <v>336.012268406305</v>
      </c>
    </row>
    <row r="76" spans="1:29" s="64" customFormat="1" ht="39" x14ac:dyDescent="0.3">
      <c r="A76" s="24">
        <v>2</v>
      </c>
      <c r="B76" s="122" t="s">
        <v>161</v>
      </c>
      <c r="C76" s="25" t="s">
        <v>159</v>
      </c>
      <c r="D76" s="133"/>
      <c r="E76" s="133"/>
      <c r="F76" s="124">
        <f t="shared" si="82"/>
        <v>38.006</v>
      </c>
      <c r="G76" s="123">
        <v>0</v>
      </c>
      <c r="H76" s="123">
        <v>38.006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  <c r="N76" s="123">
        <v>0</v>
      </c>
      <c r="O76" s="125">
        <v>0</v>
      </c>
      <c r="P76" s="126">
        <f t="shared" si="85"/>
        <v>38.006</v>
      </c>
      <c r="Q76" s="127"/>
      <c r="R76" s="126"/>
      <c r="S76" s="126">
        <f t="shared" si="87"/>
        <v>38.006</v>
      </c>
      <c r="T76" s="127"/>
      <c r="U76" s="127"/>
      <c r="V76" s="124">
        <v>0</v>
      </c>
      <c r="W76" s="126">
        <f t="shared" si="89"/>
        <v>38.006</v>
      </c>
      <c r="X76" s="127"/>
    </row>
    <row r="77" spans="1:29" s="64" customFormat="1" ht="38.25" customHeight="1" x14ac:dyDescent="0.3">
      <c r="A77" s="24">
        <v>3</v>
      </c>
      <c r="B77" s="122" t="s">
        <v>31</v>
      </c>
      <c r="C77" s="25" t="s">
        <v>30</v>
      </c>
      <c r="D77" s="133">
        <v>2313.6999999999998</v>
      </c>
      <c r="E77" s="133">
        <v>2308.6999999999998</v>
      </c>
      <c r="F77" s="124">
        <f t="shared" si="82"/>
        <v>1806.94</v>
      </c>
      <c r="G77" s="123">
        <v>12.451000000000001</v>
      </c>
      <c r="H77" s="123">
        <v>361.55099999999999</v>
      </c>
      <c r="I77" s="123">
        <v>86.131</v>
      </c>
      <c r="J77" s="123">
        <v>210.38200000000001</v>
      </c>
      <c r="K77" s="123">
        <v>436.82900000000001</v>
      </c>
      <c r="L77" s="123">
        <v>80.813999999999993</v>
      </c>
      <c r="M77" s="123">
        <v>358.64800000000002</v>
      </c>
      <c r="N77" s="123">
        <v>260.13400000000001</v>
      </c>
      <c r="O77" s="125">
        <v>1804.5060000000001</v>
      </c>
      <c r="P77" s="126">
        <f t="shared" si="85"/>
        <v>2.4339999999999691</v>
      </c>
      <c r="Q77" s="127">
        <f>F77/O77*100</f>
        <v>100.134884561204</v>
      </c>
      <c r="R77" s="126">
        <f>E77/12*8</f>
        <v>1539.1333333333332</v>
      </c>
      <c r="S77" s="126">
        <f t="shared" si="87"/>
        <v>267.80666666666684</v>
      </c>
      <c r="T77" s="127">
        <f t="shared" ref="T77:T83" si="90">F77/R77*100</f>
        <v>117.3998354052064</v>
      </c>
      <c r="U77" s="127">
        <f>F77/E77*100</f>
        <v>78.266556936804264</v>
      </c>
      <c r="V77" s="124">
        <v>1345.6869999999999</v>
      </c>
      <c r="W77" s="126">
        <f t="shared" si="89"/>
        <v>461.25300000000016</v>
      </c>
      <c r="X77" s="127">
        <f>F77/V77*100</f>
        <v>134.27639562543149</v>
      </c>
    </row>
    <row r="78" spans="1:29" s="64" customFormat="1" ht="39" x14ac:dyDescent="0.3">
      <c r="A78" s="24">
        <v>4</v>
      </c>
      <c r="B78" s="122" t="s">
        <v>162</v>
      </c>
      <c r="C78" s="25" t="s">
        <v>160</v>
      </c>
      <c r="D78" s="133"/>
      <c r="E78" s="133">
        <f t="shared" ref="E78:E81" si="91">D78</f>
        <v>0</v>
      </c>
      <c r="F78" s="124">
        <f t="shared" si="82"/>
        <v>0.46499999999999997</v>
      </c>
      <c r="G78" s="123">
        <v>0</v>
      </c>
      <c r="H78" s="123">
        <v>0.36</v>
      </c>
      <c r="I78" s="123">
        <v>0.105</v>
      </c>
      <c r="J78" s="123">
        <v>0</v>
      </c>
      <c r="K78" s="123">
        <v>0</v>
      </c>
      <c r="L78" s="123">
        <v>0</v>
      </c>
      <c r="M78" s="123">
        <v>0</v>
      </c>
      <c r="N78" s="123">
        <v>0</v>
      </c>
      <c r="O78" s="125">
        <v>0</v>
      </c>
      <c r="P78" s="126">
        <f t="shared" si="85"/>
        <v>0.46499999999999997</v>
      </c>
      <c r="Q78" s="127"/>
      <c r="R78" s="126"/>
      <c r="S78" s="126">
        <f t="shared" si="87"/>
        <v>0.46499999999999997</v>
      </c>
      <c r="T78" s="127"/>
      <c r="U78" s="127"/>
      <c r="V78" s="124">
        <v>0</v>
      </c>
      <c r="W78" s="126">
        <f t="shared" si="89"/>
        <v>0.46499999999999997</v>
      </c>
      <c r="X78" s="127"/>
    </row>
    <row r="79" spans="1:29" s="64" customFormat="1" ht="39" x14ac:dyDescent="0.3">
      <c r="A79" s="24">
        <v>5</v>
      </c>
      <c r="B79" s="122" t="s">
        <v>84</v>
      </c>
      <c r="C79" s="25">
        <v>21110000</v>
      </c>
      <c r="D79" s="133">
        <v>110</v>
      </c>
      <c r="E79" s="133">
        <f t="shared" si="91"/>
        <v>110</v>
      </c>
      <c r="F79" s="124">
        <f t="shared" si="82"/>
        <v>0</v>
      </c>
      <c r="G79" s="123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  <c r="N79" s="123">
        <v>0</v>
      </c>
      <c r="O79" s="125">
        <v>0</v>
      </c>
      <c r="P79" s="126">
        <f t="shared" si="85"/>
        <v>0</v>
      </c>
      <c r="Q79" s="127"/>
      <c r="R79" s="126">
        <f t="shared" ref="R79:R80" si="92">E79/12*8</f>
        <v>73.333333333333329</v>
      </c>
      <c r="S79" s="126">
        <f t="shared" si="87"/>
        <v>-73.333333333333329</v>
      </c>
      <c r="T79" s="127">
        <f t="shared" si="90"/>
        <v>0</v>
      </c>
      <c r="U79" s="127">
        <f t="shared" ref="U79:U98" si="93">F79/E79*100</f>
        <v>0</v>
      </c>
      <c r="V79" s="124">
        <v>79.931999999999988</v>
      </c>
      <c r="W79" s="126">
        <f t="shared" si="89"/>
        <v>-79.931999999999988</v>
      </c>
      <c r="X79" s="127"/>
    </row>
    <row r="80" spans="1:29" s="64" customFormat="1" ht="58.5" x14ac:dyDescent="0.3">
      <c r="A80" s="24">
        <f t="shared" ref="A80:A82" si="94">A79+1</f>
        <v>6</v>
      </c>
      <c r="B80" s="63" t="s">
        <v>26</v>
      </c>
      <c r="C80" s="25" t="s">
        <v>25</v>
      </c>
      <c r="D80" s="133">
        <v>20</v>
      </c>
      <c r="E80" s="133">
        <v>25</v>
      </c>
      <c r="F80" s="124">
        <f t="shared" si="82"/>
        <v>27.304000000000002</v>
      </c>
      <c r="G80" s="123">
        <v>11.72</v>
      </c>
      <c r="H80" s="123">
        <v>2.343</v>
      </c>
      <c r="I80" s="123">
        <v>0</v>
      </c>
      <c r="J80" s="123">
        <v>0</v>
      </c>
      <c r="K80" s="123">
        <v>0.41799999999999998</v>
      </c>
      <c r="L80" s="123">
        <v>0</v>
      </c>
      <c r="M80" s="123">
        <v>3.6989999999999998</v>
      </c>
      <c r="N80" s="123">
        <v>9.1240000000000006</v>
      </c>
      <c r="O80" s="125">
        <v>24.686</v>
      </c>
      <c r="P80" s="126">
        <f t="shared" si="85"/>
        <v>2.6180000000000021</v>
      </c>
      <c r="Q80" s="127">
        <f>F80/O80*100</f>
        <v>110.60520132868834</v>
      </c>
      <c r="R80" s="126">
        <f t="shared" si="92"/>
        <v>16.666666666666668</v>
      </c>
      <c r="S80" s="126">
        <f t="shared" si="87"/>
        <v>10.637333333333334</v>
      </c>
      <c r="T80" s="127">
        <f t="shared" si="90"/>
        <v>163.82399999999998</v>
      </c>
      <c r="U80" s="127">
        <f t="shared" si="93"/>
        <v>109.21600000000001</v>
      </c>
      <c r="V80" s="124">
        <v>148.16899999999995</v>
      </c>
      <c r="W80" s="126">
        <f t="shared" si="89"/>
        <v>-120.86499999999995</v>
      </c>
      <c r="X80" s="127">
        <f>F80/V80*100</f>
        <v>18.427606314411253</v>
      </c>
    </row>
    <row r="81" spans="1:25" s="64" customFormat="1" ht="58.5" x14ac:dyDescent="0.3">
      <c r="A81" s="24">
        <f t="shared" si="94"/>
        <v>7</v>
      </c>
      <c r="B81" s="63" t="s">
        <v>65</v>
      </c>
      <c r="C81" s="25" t="s">
        <v>66</v>
      </c>
      <c r="D81" s="133">
        <v>0</v>
      </c>
      <c r="E81" s="133">
        <f t="shared" si="91"/>
        <v>0</v>
      </c>
      <c r="F81" s="124">
        <f t="shared" si="82"/>
        <v>0</v>
      </c>
      <c r="G81" s="123">
        <v>0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5">
        <v>0</v>
      </c>
      <c r="P81" s="126">
        <f t="shared" si="85"/>
        <v>0</v>
      </c>
      <c r="Q81" s="127"/>
      <c r="R81" s="126"/>
      <c r="S81" s="126">
        <f t="shared" si="87"/>
        <v>0</v>
      </c>
      <c r="T81" s="127"/>
      <c r="U81" s="127"/>
      <c r="V81" s="124">
        <v>0.15800000000000003</v>
      </c>
      <c r="W81" s="126">
        <f t="shared" si="89"/>
        <v>-0.15800000000000003</v>
      </c>
      <c r="X81" s="127"/>
    </row>
    <row r="82" spans="1:25" s="32" customFormat="1" ht="37.5" customHeight="1" x14ac:dyDescent="0.3">
      <c r="A82" s="12">
        <f t="shared" si="94"/>
        <v>8</v>
      </c>
      <c r="B82" s="16" t="s">
        <v>10</v>
      </c>
      <c r="C82" s="9"/>
      <c r="D82" s="58">
        <f>SUM(D83:D86)</f>
        <v>69003.199999999997</v>
      </c>
      <c r="E82" s="58">
        <f>SUM(E83:E86)</f>
        <v>69003.199999999997</v>
      </c>
      <c r="F82" s="49">
        <f t="shared" si="82"/>
        <v>30400.546000000002</v>
      </c>
      <c r="G82" s="58">
        <f t="shared" ref="G82:O82" si="95">SUM(G83:G86)</f>
        <v>7157.3879999999999</v>
      </c>
      <c r="H82" s="58">
        <f t="shared" si="95"/>
        <v>8333.3260000000009</v>
      </c>
      <c r="I82" s="58">
        <f t="shared" si="95"/>
        <v>847.39499999999998</v>
      </c>
      <c r="J82" s="58">
        <f t="shared" si="95"/>
        <v>575.39599999999996</v>
      </c>
      <c r="K82" s="58">
        <f t="shared" ref="K82:M82" si="96">SUM(K83:K86)</f>
        <v>1579.5550000000001</v>
      </c>
      <c r="L82" s="58">
        <f t="shared" si="96"/>
        <v>3382.8950000000004</v>
      </c>
      <c r="M82" s="58">
        <f t="shared" si="96"/>
        <v>4645.9940000000006</v>
      </c>
      <c r="N82" s="58">
        <f t="shared" si="95"/>
        <v>3878.5970000000002</v>
      </c>
      <c r="O82" s="58">
        <f t="shared" si="95"/>
        <v>29388.991000000002</v>
      </c>
      <c r="P82" s="58">
        <f t="shared" si="85"/>
        <v>1011.5550000000003</v>
      </c>
      <c r="Q82" s="97">
        <f>F82/O82*100</f>
        <v>103.44195212418146</v>
      </c>
      <c r="R82" s="58">
        <f>SUM(R83:R86)</f>
        <v>46002.133333333331</v>
      </c>
      <c r="S82" s="96">
        <f t="shared" si="87"/>
        <v>-15601.587333333329</v>
      </c>
      <c r="T82" s="97">
        <f t="shared" si="90"/>
        <v>66.085078663018535</v>
      </c>
      <c r="U82" s="97">
        <f t="shared" si="93"/>
        <v>44.056719108679019</v>
      </c>
      <c r="V82" s="49">
        <f>SUM(V83:V86)</f>
        <v>59103.590999999993</v>
      </c>
      <c r="W82" s="96">
        <f t="shared" si="89"/>
        <v>-28703.044999999991</v>
      </c>
      <c r="X82" s="97">
        <f t="shared" ref="X82:X88" si="97">F82/V82*100</f>
        <v>51.436038801770955</v>
      </c>
      <c r="Y82" s="65"/>
    </row>
    <row r="83" spans="1:25" s="67" customFormat="1" ht="39" x14ac:dyDescent="0.3">
      <c r="A83" s="14" t="s">
        <v>163</v>
      </c>
      <c r="B83" s="109" t="s">
        <v>140</v>
      </c>
      <c r="C83" s="17" t="s">
        <v>63</v>
      </c>
      <c r="D83" s="134">
        <v>3.2</v>
      </c>
      <c r="E83" s="134">
        <f t="shared" ref="E83:E87" si="98">D83</f>
        <v>3.2</v>
      </c>
      <c r="F83" s="129">
        <f t="shared" si="82"/>
        <v>1</v>
      </c>
      <c r="G83" s="128">
        <v>0</v>
      </c>
      <c r="H83" s="128">
        <v>0</v>
      </c>
      <c r="I83" s="128">
        <v>0</v>
      </c>
      <c r="J83" s="128">
        <v>0</v>
      </c>
      <c r="K83" s="128">
        <v>0</v>
      </c>
      <c r="L83" s="128">
        <v>1</v>
      </c>
      <c r="M83" s="128">
        <v>0</v>
      </c>
      <c r="N83" s="128">
        <v>0</v>
      </c>
      <c r="O83" s="130">
        <v>1</v>
      </c>
      <c r="P83" s="131">
        <f t="shared" si="85"/>
        <v>0</v>
      </c>
      <c r="Q83" s="132">
        <f t="shared" ref="Q83:Q84" si="99">F83/O83*100</f>
        <v>100</v>
      </c>
      <c r="R83" s="131">
        <f t="shared" ref="R83:R87" si="100">E83/12*8</f>
        <v>2.1333333333333333</v>
      </c>
      <c r="S83" s="131">
        <f t="shared" si="87"/>
        <v>-1.1333333333333333</v>
      </c>
      <c r="T83" s="132">
        <f t="shared" si="90"/>
        <v>46.875</v>
      </c>
      <c r="U83" s="132">
        <f t="shared" si="93"/>
        <v>31.25</v>
      </c>
      <c r="V83" s="129">
        <v>2.2000000000000002</v>
      </c>
      <c r="W83" s="131">
        <f t="shared" si="89"/>
        <v>-1.2000000000000002</v>
      </c>
      <c r="X83" s="132">
        <f t="shared" si="97"/>
        <v>45.454545454545453</v>
      </c>
    </row>
    <row r="84" spans="1:25" s="67" customFormat="1" ht="39" x14ac:dyDescent="0.3">
      <c r="A84" s="14" t="s">
        <v>164</v>
      </c>
      <c r="B84" s="109" t="s">
        <v>153</v>
      </c>
      <c r="C84" s="17" t="s">
        <v>44</v>
      </c>
      <c r="D84" s="134">
        <v>0</v>
      </c>
      <c r="E84" s="134">
        <v>1338.6</v>
      </c>
      <c r="F84" s="129">
        <f t="shared" si="82"/>
        <v>1369.181</v>
      </c>
      <c r="G84" s="128">
        <v>12.75</v>
      </c>
      <c r="H84" s="128">
        <v>807.42100000000005</v>
      </c>
      <c r="I84" s="128">
        <v>3.4470000000000001</v>
      </c>
      <c r="J84" s="128">
        <v>0</v>
      </c>
      <c r="K84" s="128">
        <v>0</v>
      </c>
      <c r="L84" s="128">
        <v>243.47399999999999</v>
      </c>
      <c r="M84" s="128">
        <v>271.63799999999998</v>
      </c>
      <c r="N84" s="128">
        <v>30.451000000000001</v>
      </c>
      <c r="O84" s="130">
        <v>1338.6</v>
      </c>
      <c r="P84" s="131">
        <f t="shared" si="85"/>
        <v>30.581000000000131</v>
      </c>
      <c r="Q84" s="132">
        <f t="shared" si="99"/>
        <v>102.28455102345735</v>
      </c>
      <c r="R84" s="131">
        <f t="shared" si="100"/>
        <v>892.4</v>
      </c>
      <c r="S84" s="131">
        <f t="shared" si="87"/>
        <v>476.78100000000006</v>
      </c>
      <c r="T84" s="132">
        <f>F84/R84*100</f>
        <v>153.42682653518602</v>
      </c>
      <c r="U84" s="132">
        <f t="shared" ref="U84" si="101">F84/E84*100</f>
        <v>102.28455102345735</v>
      </c>
      <c r="V84" s="129">
        <v>12025.137999999999</v>
      </c>
      <c r="W84" s="131">
        <f t="shared" si="89"/>
        <v>-10655.956999999999</v>
      </c>
      <c r="X84" s="132">
        <f t="shared" si="97"/>
        <v>11.385989915458767</v>
      </c>
      <c r="Y84" s="67">
        <v>-8026.875</v>
      </c>
    </row>
    <row r="85" spans="1:25" s="67" customFormat="1" ht="33" customHeight="1" x14ac:dyDescent="0.3">
      <c r="A85" s="14" t="s">
        <v>165</v>
      </c>
      <c r="B85" s="109" t="s">
        <v>36</v>
      </c>
      <c r="C85" s="17" t="s">
        <v>22</v>
      </c>
      <c r="D85" s="134">
        <v>19000</v>
      </c>
      <c r="E85" s="134">
        <f t="shared" si="98"/>
        <v>19000</v>
      </c>
      <c r="F85" s="129">
        <f t="shared" si="82"/>
        <v>14071.89</v>
      </c>
      <c r="G85" s="128">
        <v>3.9</v>
      </c>
      <c r="H85" s="128">
        <v>6190.4620000000004</v>
      </c>
      <c r="I85" s="128">
        <v>380.21600000000001</v>
      </c>
      <c r="J85" s="128">
        <v>0</v>
      </c>
      <c r="K85" s="128">
        <v>400</v>
      </c>
      <c r="L85" s="128">
        <v>1818.413</v>
      </c>
      <c r="M85" s="128">
        <v>2656.34</v>
      </c>
      <c r="N85" s="128">
        <v>2622.5590000000002</v>
      </c>
      <c r="O85" s="130">
        <v>13290</v>
      </c>
      <c r="P85" s="131">
        <f t="shared" si="85"/>
        <v>781.88999999999942</v>
      </c>
      <c r="Q85" s="132">
        <f>F85/O85*100</f>
        <v>105.88329571106094</v>
      </c>
      <c r="R85" s="131">
        <f t="shared" si="100"/>
        <v>12666.666666666666</v>
      </c>
      <c r="S85" s="131">
        <f t="shared" si="87"/>
        <v>1405.2233333333334</v>
      </c>
      <c r="T85" s="132">
        <f>F85/R85*100</f>
        <v>111.09386842105262</v>
      </c>
      <c r="U85" s="132">
        <f t="shared" si="93"/>
        <v>74.062578947368422</v>
      </c>
      <c r="V85" s="129">
        <v>12184.530999999999</v>
      </c>
      <c r="W85" s="131">
        <f t="shared" si="89"/>
        <v>1887.3590000000004</v>
      </c>
      <c r="X85" s="132">
        <f t="shared" si="97"/>
        <v>115.48979603728695</v>
      </c>
    </row>
    <row r="86" spans="1:25" s="66" customFormat="1" ht="23.25" x14ac:dyDescent="0.3">
      <c r="A86" s="14" t="s">
        <v>166</v>
      </c>
      <c r="B86" s="45" t="s">
        <v>67</v>
      </c>
      <c r="C86" s="17" t="s">
        <v>42</v>
      </c>
      <c r="D86" s="134">
        <v>50000</v>
      </c>
      <c r="E86" s="134">
        <v>48661.4</v>
      </c>
      <c r="F86" s="137">
        <f t="shared" si="82"/>
        <v>14958.475</v>
      </c>
      <c r="G86" s="134">
        <v>7140.7380000000003</v>
      </c>
      <c r="H86" s="134">
        <v>1335.443</v>
      </c>
      <c r="I86" s="134">
        <v>463.73200000000003</v>
      </c>
      <c r="J86" s="134">
        <v>575.39599999999996</v>
      </c>
      <c r="K86" s="134">
        <v>1179.5550000000001</v>
      </c>
      <c r="L86" s="134">
        <v>1320.008</v>
      </c>
      <c r="M86" s="134">
        <v>1718.0160000000001</v>
      </c>
      <c r="N86" s="134">
        <v>1225.587</v>
      </c>
      <c r="O86" s="134">
        <v>14759.391</v>
      </c>
      <c r="P86" s="131">
        <f t="shared" si="85"/>
        <v>199.08400000000074</v>
      </c>
      <c r="Q86" s="132">
        <f>F86/O86*100</f>
        <v>101.34886324239258</v>
      </c>
      <c r="R86" s="131">
        <f t="shared" si="100"/>
        <v>32440.933333333334</v>
      </c>
      <c r="S86" s="131">
        <f t="shared" si="87"/>
        <v>-17482.458333333336</v>
      </c>
      <c r="T86" s="132">
        <f>F86/R86*100</f>
        <v>46.109878671801468</v>
      </c>
      <c r="U86" s="132">
        <f t="shared" si="93"/>
        <v>30.739919114534313</v>
      </c>
      <c r="V86" s="137">
        <v>34891.721999999994</v>
      </c>
      <c r="W86" s="131">
        <f t="shared" si="89"/>
        <v>-19933.246999999996</v>
      </c>
      <c r="X86" s="132">
        <f t="shared" si="97"/>
        <v>42.87112857313263</v>
      </c>
    </row>
    <row r="87" spans="1:25" s="64" customFormat="1" ht="27.75" customHeight="1" x14ac:dyDescent="0.3">
      <c r="A87" s="24">
        <v>9</v>
      </c>
      <c r="B87" s="122" t="s">
        <v>11</v>
      </c>
      <c r="C87" s="25" t="s">
        <v>23</v>
      </c>
      <c r="D87" s="133">
        <v>6090</v>
      </c>
      <c r="E87" s="133">
        <f t="shared" si="98"/>
        <v>6090</v>
      </c>
      <c r="F87" s="124">
        <f t="shared" si="82"/>
        <v>4182.902</v>
      </c>
      <c r="G87" s="123">
        <v>783.11300000000006</v>
      </c>
      <c r="H87" s="123">
        <v>689.47299999999996</v>
      </c>
      <c r="I87" s="123">
        <v>223.41900000000001</v>
      </c>
      <c r="J87" s="123">
        <v>278.96499999999997</v>
      </c>
      <c r="K87" s="123">
        <v>308.18299999999999</v>
      </c>
      <c r="L87" s="123">
        <v>263.78800000000001</v>
      </c>
      <c r="M87" s="123">
        <v>590.61500000000001</v>
      </c>
      <c r="N87" s="123">
        <v>1045.346</v>
      </c>
      <c r="O87" s="125">
        <v>3626</v>
      </c>
      <c r="P87" s="126">
        <f t="shared" si="85"/>
        <v>556.90200000000004</v>
      </c>
      <c r="Q87" s="127">
        <f>F87/O87*100</f>
        <v>115.35857694429123</v>
      </c>
      <c r="R87" s="126">
        <f t="shared" si="100"/>
        <v>4060</v>
      </c>
      <c r="S87" s="126">
        <f t="shared" si="87"/>
        <v>122.90200000000004</v>
      </c>
      <c r="T87" s="127">
        <f>F87/R87*100</f>
        <v>103.02714285714285</v>
      </c>
      <c r="U87" s="127">
        <f t="shared" si="93"/>
        <v>68.684761904761899</v>
      </c>
      <c r="V87" s="124">
        <v>5730.2719999999999</v>
      </c>
      <c r="W87" s="126">
        <f t="shared" si="89"/>
        <v>-1547.37</v>
      </c>
      <c r="X87" s="127">
        <f t="shared" si="97"/>
        <v>72.996569796337766</v>
      </c>
    </row>
    <row r="88" spans="1:25" s="54" customFormat="1" ht="35.25" customHeight="1" x14ac:dyDescent="0.3">
      <c r="A88" s="52"/>
      <c r="B88" s="90" t="s">
        <v>155</v>
      </c>
      <c r="C88" s="53"/>
      <c r="D88" s="49">
        <f>D73+D77+D80+D81+D83+D84+D85+D86+D87+D79</f>
        <v>171973.91200000001</v>
      </c>
      <c r="E88" s="49">
        <f>E73+E77+E80+E81+E83+E84+E85+E86+E87+E79</f>
        <v>171973.91200000001</v>
      </c>
      <c r="F88" s="49">
        <f t="shared" si="82"/>
        <v>127062.12000000001</v>
      </c>
      <c r="G88" s="49">
        <f>G73+G77+G80+G81+G83+G84+G85+G86+G87+G79</f>
        <v>14825.063</v>
      </c>
      <c r="H88" s="49">
        <f t="shared" ref="H88:N88" si="102">H73+H77+H80+H81+H83+H84+H85+H86+H87+H79+H76+H78</f>
        <v>17196.864999999998</v>
      </c>
      <c r="I88" s="49">
        <f t="shared" si="102"/>
        <v>12321.911</v>
      </c>
      <c r="J88" s="49">
        <f t="shared" si="102"/>
        <v>4324.71</v>
      </c>
      <c r="K88" s="49">
        <f t="shared" si="102"/>
        <v>12169.493999999999</v>
      </c>
      <c r="L88" s="49">
        <f t="shared" si="102"/>
        <v>41250.891000000003</v>
      </c>
      <c r="M88" s="49">
        <f t="shared" ref="M88" si="103">M73+M77+M80+M81+M83+M84+M85+M86+M87+M79+M76+M78</f>
        <v>12117.844999999999</v>
      </c>
      <c r="N88" s="49">
        <f t="shared" si="102"/>
        <v>12855.340999999999</v>
      </c>
      <c r="O88" s="49">
        <f>O73+O77+O80+O81+O83+O84+O85+O86+O87+O79</f>
        <v>97802.191000000006</v>
      </c>
      <c r="P88" s="92">
        <f t="shared" si="85"/>
        <v>29259.929000000004</v>
      </c>
      <c r="Q88" s="93">
        <f>F88/O88*100</f>
        <v>129.91745757515801</v>
      </c>
      <c r="R88" s="92">
        <f>R73+R77+R80+R81+R83+R84+R85+R86+R87+R79</f>
        <v>114649.27466666666</v>
      </c>
      <c r="S88" s="92">
        <f t="shared" si="87"/>
        <v>12412.845333333345</v>
      </c>
      <c r="T88" s="93">
        <f>F88/R88*100</f>
        <v>110.82679796223978</v>
      </c>
      <c r="U88" s="93">
        <f t="shared" si="93"/>
        <v>73.884531974826501</v>
      </c>
      <c r="V88" s="49">
        <f>V73+V77+V80+V81+V83+V84+V85+V86+V87+V79</f>
        <v>108224.079</v>
      </c>
      <c r="W88" s="92">
        <f t="shared" si="89"/>
        <v>18838.041000000012</v>
      </c>
      <c r="X88" s="93">
        <f t="shared" si="97"/>
        <v>117.40651542065793</v>
      </c>
    </row>
    <row r="89" spans="1:25" s="70" customFormat="1" ht="22.5" hidden="1" x14ac:dyDescent="0.3">
      <c r="A89" s="69"/>
      <c r="B89" s="158"/>
      <c r="C89" s="57"/>
      <c r="D89" s="58"/>
      <c r="E89" s="58"/>
      <c r="F89" s="49"/>
      <c r="G89" s="58"/>
      <c r="H89" s="58"/>
      <c r="I89" s="58"/>
      <c r="J89" s="58"/>
      <c r="K89" s="58"/>
      <c r="L89" s="58"/>
      <c r="M89" s="58"/>
      <c r="N89" s="58"/>
      <c r="O89" s="58"/>
      <c r="P89" s="96"/>
      <c r="Q89" s="97"/>
      <c r="R89" s="96"/>
      <c r="S89" s="96"/>
      <c r="T89" s="97"/>
      <c r="U89" s="97"/>
      <c r="V89" s="49"/>
      <c r="W89" s="96"/>
      <c r="X89" s="97"/>
    </row>
    <row r="90" spans="1:25" s="27" customFormat="1" ht="84.75" customHeight="1" x14ac:dyDescent="0.25">
      <c r="A90" s="24">
        <v>1</v>
      </c>
      <c r="B90" s="63" t="s">
        <v>132</v>
      </c>
      <c r="C90" s="25" t="s">
        <v>70</v>
      </c>
      <c r="D90" s="133">
        <v>22916.2</v>
      </c>
      <c r="E90" s="133">
        <v>120420</v>
      </c>
      <c r="F90" s="138">
        <f t="shared" si="82"/>
        <v>0</v>
      </c>
      <c r="G90" s="133">
        <v>0</v>
      </c>
      <c r="H90" s="133">
        <v>0</v>
      </c>
      <c r="I90" s="133">
        <v>0</v>
      </c>
      <c r="J90" s="133">
        <v>0</v>
      </c>
      <c r="K90" s="133">
        <v>0</v>
      </c>
      <c r="L90" s="133">
        <v>0</v>
      </c>
      <c r="M90" s="133">
        <v>0</v>
      </c>
      <c r="N90" s="133">
        <v>0</v>
      </c>
      <c r="O90" s="133">
        <v>22916.2</v>
      </c>
      <c r="P90" s="126">
        <f>F90-O90</f>
        <v>-22916.2</v>
      </c>
      <c r="Q90" s="139"/>
      <c r="R90" s="133">
        <f>D90</f>
        <v>22916.2</v>
      </c>
      <c r="S90" s="126">
        <f>F90-R90</f>
        <v>-22916.2</v>
      </c>
      <c r="T90" s="139">
        <f>F90/R90*100</f>
        <v>0</v>
      </c>
      <c r="U90" s="139">
        <f t="shared" si="93"/>
        <v>0</v>
      </c>
      <c r="V90" s="138">
        <v>3858.3</v>
      </c>
      <c r="W90" s="126">
        <f>F90-V90</f>
        <v>-3858.3</v>
      </c>
      <c r="X90" s="127"/>
    </row>
    <row r="91" spans="1:25" s="27" customFormat="1" ht="97.5" x14ac:dyDescent="0.25">
      <c r="A91" s="24">
        <v>2</v>
      </c>
      <c r="B91" s="63" t="s">
        <v>202</v>
      </c>
      <c r="C91" s="25" t="s">
        <v>203</v>
      </c>
      <c r="D91" s="133">
        <v>0</v>
      </c>
      <c r="E91" s="133">
        <v>0</v>
      </c>
      <c r="F91" s="138">
        <f t="shared" si="82"/>
        <v>0</v>
      </c>
      <c r="G91" s="133">
        <v>0</v>
      </c>
      <c r="H91" s="133">
        <v>0</v>
      </c>
      <c r="I91" s="133">
        <v>0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33">
        <v>0</v>
      </c>
      <c r="P91" s="126">
        <f>F91-O91</f>
        <v>0</v>
      </c>
      <c r="Q91" s="139"/>
      <c r="R91" s="133">
        <f>D91</f>
        <v>0</v>
      </c>
      <c r="S91" s="126">
        <f>F91-R91</f>
        <v>0</v>
      </c>
      <c r="T91" s="139"/>
      <c r="U91" s="139"/>
      <c r="V91" s="138">
        <v>13508.708000000001</v>
      </c>
      <c r="W91" s="126">
        <f>F91-V91</f>
        <v>-13508.708000000001</v>
      </c>
      <c r="X91" s="127"/>
    </row>
    <row r="92" spans="1:25" s="36" customFormat="1" ht="22.5" hidden="1" x14ac:dyDescent="0.25">
      <c r="A92" s="35"/>
      <c r="B92" s="98"/>
      <c r="C92" s="26"/>
      <c r="D92" s="58"/>
      <c r="E92" s="58"/>
      <c r="F92" s="49"/>
      <c r="G92" s="58"/>
      <c r="H92" s="58"/>
      <c r="I92" s="58"/>
      <c r="J92" s="58"/>
      <c r="K92" s="58"/>
      <c r="L92" s="58"/>
      <c r="M92" s="58"/>
      <c r="N92" s="58"/>
      <c r="O92" s="58"/>
      <c r="P92" s="96"/>
      <c r="Q92" s="97"/>
      <c r="R92" s="96"/>
      <c r="S92" s="96"/>
      <c r="T92" s="97"/>
      <c r="U92" s="97"/>
      <c r="V92" s="49"/>
      <c r="W92" s="96"/>
      <c r="X92" s="97"/>
    </row>
    <row r="93" spans="1:25" s="50" customFormat="1" ht="27.75" customHeight="1" x14ac:dyDescent="0.3">
      <c r="A93" s="47"/>
      <c r="B93" s="51" t="s">
        <v>28</v>
      </c>
      <c r="C93" s="53"/>
      <c r="D93" s="49">
        <f>D94+D95</f>
        <v>22916.2</v>
      </c>
      <c r="E93" s="49">
        <f>E94+E95</f>
        <v>22916.2</v>
      </c>
      <c r="F93" s="49">
        <f t="shared" si="82"/>
        <v>0</v>
      </c>
      <c r="G93" s="49">
        <f t="shared" ref="G93:O93" si="104">G94+G95</f>
        <v>0</v>
      </c>
      <c r="H93" s="49">
        <f t="shared" si="104"/>
        <v>0</v>
      </c>
      <c r="I93" s="49">
        <f t="shared" si="104"/>
        <v>0</v>
      </c>
      <c r="J93" s="49">
        <f t="shared" si="104"/>
        <v>0</v>
      </c>
      <c r="K93" s="49">
        <f t="shared" ref="K93:M93" si="105">K94+K95</f>
        <v>0</v>
      </c>
      <c r="L93" s="49">
        <f t="shared" si="105"/>
        <v>0</v>
      </c>
      <c r="M93" s="49">
        <f t="shared" si="105"/>
        <v>0</v>
      </c>
      <c r="N93" s="49">
        <f t="shared" si="104"/>
        <v>0</v>
      </c>
      <c r="O93" s="49">
        <f t="shared" si="104"/>
        <v>22916.2</v>
      </c>
      <c r="P93" s="92">
        <f>F93-O93</f>
        <v>-22916.2</v>
      </c>
      <c r="Q93" s="93">
        <f>F93/O93*100</f>
        <v>0</v>
      </c>
      <c r="R93" s="49">
        <f>R94+R95</f>
        <v>22916.2</v>
      </c>
      <c r="S93" s="92">
        <f>F93-R93</f>
        <v>-22916.2</v>
      </c>
      <c r="T93" s="93">
        <f>F93/R93*100</f>
        <v>0</v>
      </c>
      <c r="U93" s="93">
        <f t="shared" si="93"/>
        <v>0</v>
      </c>
      <c r="V93" s="49">
        <f>V94+V95</f>
        <v>17367.008000000002</v>
      </c>
      <c r="W93" s="92">
        <f>F93-V93</f>
        <v>-17367.008000000002</v>
      </c>
      <c r="X93" s="93"/>
    </row>
    <row r="94" spans="1:25" s="8" customFormat="1" ht="23.25" hidden="1" x14ac:dyDescent="0.25">
      <c r="A94" s="14"/>
      <c r="B94" s="17" t="s">
        <v>102</v>
      </c>
      <c r="C94" s="17"/>
      <c r="D94" s="134">
        <f>D90</f>
        <v>22916.2</v>
      </c>
      <c r="E94" s="134">
        <f>D94</f>
        <v>22916.2</v>
      </c>
      <c r="F94" s="137">
        <f t="shared" si="82"/>
        <v>0</v>
      </c>
      <c r="G94" s="134">
        <f t="shared" ref="G94:O94" si="106">G90</f>
        <v>0</v>
      </c>
      <c r="H94" s="134">
        <f t="shared" si="106"/>
        <v>0</v>
      </c>
      <c r="I94" s="134">
        <f t="shared" si="106"/>
        <v>0</v>
      </c>
      <c r="J94" s="134">
        <f t="shared" si="106"/>
        <v>0</v>
      </c>
      <c r="K94" s="134">
        <f t="shared" ref="K94:M94" si="107">K90</f>
        <v>0</v>
      </c>
      <c r="L94" s="134">
        <f t="shared" si="107"/>
        <v>0</v>
      </c>
      <c r="M94" s="134">
        <f t="shared" si="107"/>
        <v>0</v>
      </c>
      <c r="N94" s="134">
        <f t="shared" si="106"/>
        <v>0</v>
      </c>
      <c r="O94" s="134">
        <f t="shared" si="106"/>
        <v>22916.2</v>
      </c>
      <c r="P94" s="131">
        <f>F94-O94</f>
        <v>-22916.2</v>
      </c>
      <c r="Q94" s="132"/>
      <c r="R94" s="134">
        <f>R90</f>
        <v>22916.2</v>
      </c>
      <c r="S94" s="131">
        <f>F94-R94</f>
        <v>-22916.2</v>
      </c>
      <c r="T94" s="132">
        <f>F94/R94*100</f>
        <v>0</v>
      </c>
      <c r="U94" s="132">
        <f t="shared" si="93"/>
        <v>0</v>
      </c>
      <c r="V94" s="137">
        <f>V90</f>
        <v>3858.3</v>
      </c>
      <c r="W94" s="131">
        <f>F94-V94</f>
        <v>-3858.3</v>
      </c>
      <c r="X94" s="132"/>
    </row>
    <row r="95" spans="1:25" s="8" customFormat="1" ht="23.25" hidden="1" x14ac:dyDescent="0.25">
      <c r="A95" s="14"/>
      <c r="B95" s="177" t="s">
        <v>101</v>
      </c>
      <c r="C95" s="17"/>
      <c r="D95" s="134">
        <v>0</v>
      </c>
      <c r="E95" s="134">
        <v>0</v>
      </c>
      <c r="F95" s="137">
        <f t="shared" si="82"/>
        <v>0</v>
      </c>
      <c r="G95" s="134">
        <v>0</v>
      </c>
      <c r="H95" s="134">
        <v>0</v>
      </c>
      <c r="I95" s="134">
        <v>0</v>
      </c>
      <c r="J95" s="134">
        <v>0</v>
      </c>
      <c r="K95" s="134">
        <v>0</v>
      </c>
      <c r="L95" s="134">
        <v>0</v>
      </c>
      <c r="M95" s="134">
        <v>0</v>
      </c>
      <c r="N95" s="134">
        <v>0</v>
      </c>
      <c r="O95" s="134">
        <v>0</v>
      </c>
      <c r="P95" s="131">
        <f>F95-O95</f>
        <v>0</v>
      </c>
      <c r="Q95" s="132"/>
      <c r="R95" s="134">
        <v>0</v>
      </c>
      <c r="S95" s="131">
        <f>F95-R95</f>
        <v>0</v>
      </c>
      <c r="T95" s="132"/>
      <c r="U95" s="132"/>
      <c r="V95" s="137">
        <f>V91</f>
        <v>13508.708000000001</v>
      </c>
      <c r="W95" s="131">
        <f>F95-V95</f>
        <v>-13508.708000000001</v>
      </c>
      <c r="X95" s="132"/>
    </row>
    <row r="96" spans="1:25" s="10" customFormat="1" ht="23.25" hidden="1" customHeight="1" x14ac:dyDescent="0.25">
      <c r="A96" s="24"/>
      <c r="B96" s="41"/>
      <c r="C96" s="25"/>
      <c r="D96" s="133"/>
      <c r="E96" s="133"/>
      <c r="F96" s="140"/>
      <c r="G96" s="141"/>
      <c r="H96" s="141"/>
      <c r="I96" s="141"/>
      <c r="J96" s="141"/>
      <c r="K96" s="141"/>
      <c r="L96" s="141"/>
      <c r="M96" s="141"/>
      <c r="N96" s="141"/>
      <c r="O96" s="133"/>
      <c r="P96" s="126"/>
      <c r="Q96" s="127"/>
      <c r="R96" s="133"/>
      <c r="S96" s="126"/>
      <c r="T96" s="127"/>
      <c r="U96" s="127" t="e">
        <f t="shared" si="93"/>
        <v>#DIV/0!</v>
      </c>
      <c r="V96" s="140"/>
      <c r="W96" s="126"/>
      <c r="X96" s="127"/>
    </row>
    <row r="97" spans="1:26" s="10" customFormat="1" ht="23.25" customHeight="1" x14ac:dyDescent="0.25">
      <c r="A97" s="24"/>
      <c r="B97" s="41"/>
      <c r="C97" s="25"/>
      <c r="D97" s="133"/>
      <c r="E97" s="133"/>
      <c r="F97" s="140"/>
      <c r="G97" s="141"/>
      <c r="H97" s="141"/>
      <c r="I97" s="141"/>
      <c r="J97" s="141"/>
      <c r="K97" s="141"/>
      <c r="L97" s="141"/>
      <c r="M97" s="141"/>
      <c r="N97" s="141"/>
      <c r="O97" s="133"/>
      <c r="P97" s="126"/>
      <c r="Q97" s="127"/>
      <c r="R97" s="133"/>
      <c r="S97" s="126"/>
      <c r="T97" s="127"/>
      <c r="U97" s="127"/>
      <c r="V97" s="140"/>
      <c r="W97" s="126"/>
      <c r="X97" s="127"/>
    </row>
    <row r="98" spans="1:26" s="167" customFormat="1" ht="31.5" customHeight="1" x14ac:dyDescent="0.3">
      <c r="A98" s="160"/>
      <c r="B98" s="161" t="s">
        <v>41</v>
      </c>
      <c r="C98" s="168"/>
      <c r="D98" s="163">
        <f>D88+D93</f>
        <v>194890.11200000002</v>
      </c>
      <c r="E98" s="163">
        <f>E88+E93</f>
        <v>194890.11200000002</v>
      </c>
      <c r="F98" s="163">
        <f t="shared" si="82"/>
        <v>127062.12000000001</v>
      </c>
      <c r="G98" s="163">
        <f t="shared" ref="G98:O98" si="108">G88+G93</f>
        <v>14825.063</v>
      </c>
      <c r="H98" s="163">
        <f t="shared" si="108"/>
        <v>17196.864999999998</v>
      </c>
      <c r="I98" s="163">
        <f t="shared" si="108"/>
        <v>12321.911</v>
      </c>
      <c r="J98" s="163">
        <f t="shared" si="108"/>
        <v>4324.71</v>
      </c>
      <c r="K98" s="163">
        <f t="shared" si="108"/>
        <v>12169.493999999999</v>
      </c>
      <c r="L98" s="163">
        <f t="shared" si="108"/>
        <v>41250.891000000003</v>
      </c>
      <c r="M98" s="163">
        <f t="shared" si="108"/>
        <v>12117.844999999999</v>
      </c>
      <c r="N98" s="163">
        <f t="shared" si="108"/>
        <v>12855.340999999999</v>
      </c>
      <c r="O98" s="163">
        <f t="shared" si="108"/>
        <v>120718.391</v>
      </c>
      <c r="P98" s="164">
        <f>F98-O98</f>
        <v>6343.7290000000066</v>
      </c>
      <c r="Q98" s="165">
        <f>F98/O98*100</f>
        <v>105.25498140544303</v>
      </c>
      <c r="R98" s="163">
        <f>R88+R93</f>
        <v>137565.47466666668</v>
      </c>
      <c r="S98" s="164">
        <f>F98-R98</f>
        <v>-10503.354666666666</v>
      </c>
      <c r="T98" s="165">
        <f>F98/R98*100</f>
        <v>92.364832315581197</v>
      </c>
      <c r="U98" s="165">
        <f t="shared" si="93"/>
        <v>65.196801775145985</v>
      </c>
      <c r="V98" s="163">
        <f>V88+V93</f>
        <v>125591.087</v>
      </c>
      <c r="W98" s="164">
        <f>F98-V98</f>
        <v>1471.0330000000104</v>
      </c>
      <c r="X98" s="165">
        <f>F98/V98*100</f>
        <v>101.17128773636621</v>
      </c>
      <c r="Y98" s="163">
        <v>125591.087</v>
      </c>
      <c r="Z98" s="166">
        <f>Y98-V98</f>
        <v>0</v>
      </c>
    </row>
    <row r="99" spans="1:26" s="59" customFormat="1" ht="22.5" hidden="1" x14ac:dyDescent="0.3">
      <c r="A99" s="55"/>
      <c r="B99" s="56"/>
      <c r="C99" s="57"/>
      <c r="D99" s="58"/>
      <c r="E99" s="58"/>
      <c r="F99" s="49"/>
      <c r="G99" s="58"/>
      <c r="H99" s="58"/>
      <c r="I99" s="58"/>
      <c r="J99" s="58"/>
      <c r="K99" s="58"/>
      <c r="L99" s="58"/>
      <c r="M99" s="58"/>
      <c r="N99" s="58"/>
      <c r="O99" s="58"/>
      <c r="P99" s="96"/>
      <c r="Q99" s="97"/>
      <c r="R99" s="58"/>
      <c r="S99" s="96"/>
      <c r="T99" s="97"/>
      <c r="U99" s="97"/>
      <c r="V99" s="49"/>
      <c r="W99" s="96"/>
      <c r="X99" s="97"/>
    </row>
    <row r="100" spans="1:26" s="13" customFormat="1" ht="26.25" customHeight="1" x14ac:dyDescent="0.25">
      <c r="A100" s="192" t="s">
        <v>40</v>
      </c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</row>
    <row r="101" spans="1:26" s="167" customFormat="1" ht="26.25" customHeight="1" x14ac:dyDescent="0.3">
      <c r="A101" s="169"/>
      <c r="B101" s="161" t="s">
        <v>155</v>
      </c>
      <c r="C101" s="168"/>
      <c r="D101" s="163">
        <f>D48+D88</f>
        <v>4561433.8969999999</v>
      </c>
      <c r="E101" s="163">
        <f>E48+E88</f>
        <v>4561433.8969999999</v>
      </c>
      <c r="F101" s="163">
        <f t="shared" si="82"/>
        <v>3016125.2350000003</v>
      </c>
      <c r="G101" s="163">
        <f t="shared" ref="G101:O101" si="109">G48+G88</f>
        <v>318364.7900000001</v>
      </c>
      <c r="H101" s="163">
        <f t="shared" si="109"/>
        <v>399800.837</v>
      </c>
      <c r="I101" s="163">
        <f t="shared" si="109"/>
        <v>311256.16200000007</v>
      </c>
      <c r="J101" s="163">
        <f t="shared" si="109"/>
        <v>330473.98300000001</v>
      </c>
      <c r="K101" s="163">
        <f t="shared" si="109"/>
        <v>396663.61</v>
      </c>
      <c r="L101" s="163">
        <f t="shared" si="109"/>
        <v>424851.77400000003</v>
      </c>
      <c r="M101" s="163">
        <f t="shared" si="109"/>
        <v>427753.22099999996</v>
      </c>
      <c r="N101" s="163">
        <f t="shared" si="109"/>
        <v>406960.85799999995</v>
      </c>
      <c r="O101" s="163">
        <f t="shared" si="109"/>
        <v>2909991.2910000002</v>
      </c>
      <c r="P101" s="164">
        <f>F101-O101</f>
        <v>106133.94400000013</v>
      </c>
      <c r="Q101" s="165">
        <f>F101/O101*100</f>
        <v>103.64722548580301</v>
      </c>
      <c r="R101" s="163">
        <f>R48+R88</f>
        <v>3040955.9313333333</v>
      </c>
      <c r="S101" s="164">
        <f>F101-R101</f>
        <v>-24830.696333332919</v>
      </c>
      <c r="T101" s="165">
        <f>F101/R101*100</f>
        <v>99.183457541180303</v>
      </c>
      <c r="U101" s="165">
        <f t="shared" ref="U101:U108" si="110">F101/E101*100</f>
        <v>66.122305027453535</v>
      </c>
      <c r="V101" s="163">
        <f>V48+V88</f>
        <v>2474828.8030000003</v>
      </c>
      <c r="W101" s="164">
        <f>F101-V101</f>
        <v>541296.43200000003</v>
      </c>
      <c r="X101" s="165">
        <f>F101/V101*100</f>
        <v>121.8720758116213</v>
      </c>
    </row>
    <row r="102" spans="1:26" s="32" customFormat="1" ht="22.5" customHeight="1" x14ac:dyDescent="0.3">
      <c r="A102" s="12"/>
      <c r="B102" s="16"/>
      <c r="C102" s="26"/>
      <c r="D102" s="58"/>
      <c r="E102" s="58"/>
      <c r="F102" s="49"/>
      <c r="G102" s="58"/>
      <c r="H102" s="58"/>
      <c r="I102" s="58"/>
      <c r="J102" s="58"/>
      <c r="K102" s="58"/>
      <c r="L102" s="58"/>
      <c r="M102" s="58"/>
      <c r="N102" s="58"/>
      <c r="O102" s="58"/>
      <c r="P102" s="96"/>
      <c r="Q102" s="97"/>
      <c r="R102" s="58"/>
      <c r="S102" s="96"/>
      <c r="T102" s="97"/>
      <c r="U102" s="97"/>
      <c r="V102" s="49"/>
      <c r="W102" s="96"/>
      <c r="X102" s="97"/>
    </row>
    <row r="103" spans="1:26" s="50" customFormat="1" ht="22.5" x14ac:dyDescent="0.3">
      <c r="A103" s="47"/>
      <c r="B103" s="51" t="s">
        <v>28</v>
      </c>
      <c r="C103" s="53"/>
      <c r="D103" s="49">
        <f>D64+D93</f>
        <v>932227.53999999992</v>
      </c>
      <c r="E103" s="49">
        <f>E64+E93</f>
        <v>847427.66199999989</v>
      </c>
      <c r="F103" s="49">
        <f t="shared" si="82"/>
        <v>574542.60299999989</v>
      </c>
      <c r="G103" s="49">
        <f t="shared" ref="G103:O103" si="111">G64+G93</f>
        <v>69678.231999999989</v>
      </c>
      <c r="H103" s="49">
        <f t="shared" si="111"/>
        <v>69894.97</v>
      </c>
      <c r="I103" s="49">
        <f t="shared" si="111"/>
        <v>69828.259999999995</v>
      </c>
      <c r="J103" s="49">
        <f t="shared" si="111"/>
        <v>70661.349999999991</v>
      </c>
      <c r="K103" s="49">
        <f t="shared" si="111"/>
        <v>87818.024999999994</v>
      </c>
      <c r="L103" s="49">
        <f t="shared" si="111"/>
        <v>140325.394</v>
      </c>
      <c r="M103" s="49">
        <f t="shared" si="111"/>
        <v>33926.942999999999</v>
      </c>
      <c r="N103" s="49">
        <f t="shared" si="111"/>
        <v>32409.428999999996</v>
      </c>
      <c r="O103" s="49">
        <f t="shared" si="111"/>
        <v>598223.45799999998</v>
      </c>
      <c r="P103" s="92">
        <f>F103-O103</f>
        <v>-23680.855000000098</v>
      </c>
      <c r="Q103" s="93">
        <f>F103/O103*100</f>
        <v>96.041470008686929</v>
      </c>
      <c r="R103" s="49">
        <f>R64+R93</f>
        <v>843333.03999999992</v>
      </c>
      <c r="S103" s="92">
        <f>F103-R103</f>
        <v>-268790.43700000003</v>
      </c>
      <c r="T103" s="93">
        <f>F103/R103*100</f>
        <v>68.12760507995749</v>
      </c>
      <c r="U103" s="93">
        <f t="shared" si="110"/>
        <v>67.798424427641578</v>
      </c>
      <c r="V103" s="49">
        <f>V64+V93</f>
        <v>527921.29800000007</v>
      </c>
      <c r="W103" s="92">
        <f>F103-V103</f>
        <v>46621.304999999818</v>
      </c>
      <c r="X103" s="93">
        <f>F103/V103*100</f>
        <v>108.83110895063753</v>
      </c>
    </row>
    <row r="104" spans="1:26" s="59" customFormat="1" ht="29.25" hidden="1" customHeight="1" x14ac:dyDescent="0.3">
      <c r="A104" s="170"/>
      <c r="B104" s="60" t="s">
        <v>71</v>
      </c>
      <c r="C104" s="57"/>
      <c r="D104" s="58">
        <f t="shared" ref="D104:E104" si="112">D105+D106</f>
        <v>903227.53999999992</v>
      </c>
      <c r="E104" s="58">
        <f t="shared" si="112"/>
        <v>814333.03999999992</v>
      </c>
      <c r="F104" s="49">
        <f t="shared" si="82"/>
        <v>551114.38099999994</v>
      </c>
      <c r="G104" s="58">
        <f t="shared" ref="G104:O104" si="113">G105+G106</f>
        <v>67261.531999999992</v>
      </c>
      <c r="H104" s="58">
        <f t="shared" ref="H104:N104" si="114">H105+H106</f>
        <v>67478.27</v>
      </c>
      <c r="I104" s="58">
        <f t="shared" ref="I104:M104" si="115">I105+I106</f>
        <v>67411.56</v>
      </c>
      <c r="J104" s="58">
        <f t="shared" si="115"/>
        <v>68244.649999999994</v>
      </c>
      <c r="K104" s="58">
        <f t="shared" si="115"/>
        <v>85401.324999999997</v>
      </c>
      <c r="L104" s="58">
        <f t="shared" si="115"/>
        <v>137908.69399999999</v>
      </c>
      <c r="M104" s="58">
        <f t="shared" si="115"/>
        <v>28474.004000000001</v>
      </c>
      <c r="N104" s="58">
        <f t="shared" si="114"/>
        <v>28934.345999999998</v>
      </c>
      <c r="O104" s="58">
        <f t="shared" si="113"/>
        <v>574795.23600000003</v>
      </c>
      <c r="P104" s="96">
        <f>F104-O104</f>
        <v>-23680.855000000098</v>
      </c>
      <c r="Q104" s="97">
        <f>F104/O104*100</f>
        <v>95.880123300117248</v>
      </c>
      <c r="R104" s="58">
        <f t="shared" ref="R104" si="116">R105+R106</f>
        <v>814333.03999999992</v>
      </c>
      <c r="S104" s="96">
        <f>F104-R104</f>
        <v>-263218.65899999999</v>
      </c>
      <c r="T104" s="97">
        <f>F104/R104*100</f>
        <v>67.676780129171718</v>
      </c>
      <c r="U104" s="97">
        <f t="shared" si="110"/>
        <v>67.676780129171718</v>
      </c>
      <c r="V104" s="49">
        <f t="shared" ref="V104" si="117">V105+V106</f>
        <v>527921.29800000007</v>
      </c>
      <c r="W104" s="96">
        <f>F104-V104</f>
        <v>23193.082999999868</v>
      </c>
      <c r="X104" s="97">
        <f>F104/V104*100</f>
        <v>104.39328420502557</v>
      </c>
    </row>
    <row r="105" spans="1:26" s="173" customFormat="1" ht="32.25" hidden="1" customHeight="1" x14ac:dyDescent="0.35">
      <c r="A105" s="171"/>
      <c r="B105" s="172" t="s">
        <v>102</v>
      </c>
      <c r="C105" s="172"/>
      <c r="D105" s="134">
        <f>D68+D94</f>
        <v>878600.29999999993</v>
      </c>
      <c r="E105" s="134">
        <f>E68+E94</f>
        <v>793031.89999999991</v>
      </c>
      <c r="F105" s="137">
        <f t="shared" si="82"/>
        <v>537384.80000000005</v>
      </c>
      <c r="G105" s="134">
        <f t="shared" ref="G105:O105" si="118">G68+G94</f>
        <v>65887.7</v>
      </c>
      <c r="H105" s="134">
        <f t="shared" si="118"/>
        <v>65887.7</v>
      </c>
      <c r="I105" s="134">
        <f t="shared" si="118"/>
        <v>65887.7</v>
      </c>
      <c r="J105" s="134">
        <f t="shared" si="118"/>
        <v>65887.7</v>
      </c>
      <c r="K105" s="134">
        <f t="shared" si="118"/>
        <v>83001.399999999994</v>
      </c>
      <c r="L105" s="134">
        <f t="shared" si="118"/>
        <v>135324.4</v>
      </c>
      <c r="M105" s="134">
        <f t="shared" si="118"/>
        <v>27767.9</v>
      </c>
      <c r="N105" s="134">
        <f t="shared" si="118"/>
        <v>27740.3</v>
      </c>
      <c r="O105" s="134">
        <f t="shared" si="118"/>
        <v>560301</v>
      </c>
      <c r="P105" s="131">
        <f>F105-O105</f>
        <v>-22916.199999999953</v>
      </c>
      <c r="Q105" s="132">
        <f>F105/O105*100</f>
        <v>95.910019792932729</v>
      </c>
      <c r="R105" s="134">
        <f>R68+R94</f>
        <v>793031.89999999991</v>
      </c>
      <c r="S105" s="131">
        <f>F105-R105</f>
        <v>-255647.09999999986</v>
      </c>
      <c r="T105" s="132">
        <f>F105/R105*100</f>
        <v>67.763327049012801</v>
      </c>
      <c r="U105" s="132">
        <f t="shared" si="110"/>
        <v>67.763327049012801</v>
      </c>
      <c r="V105" s="137">
        <f>V68+V94</f>
        <v>481230.50000000006</v>
      </c>
      <c r="W105" s="131">
        <f>F105-V105</f>
        <v>56154.299999999988</v>
      </c>
      <c r="X105" s="132">
        <f>F105/V105*100</f>
        <v>111.66889879174325</v>
      </c>
    </row>
    <row r="106" spans="1:26" s="173" customFormat="1" ht="32.25" hidden="1" customHeight="1" x14ac:dyDescent="0.35">
      <c r="A106" s="171"/>
      <c r="B106" s="172" t="s">
        <v>101</v>
      </c>
      <c r="C106" s="172"/>
      <c r="D106" s="134">
        <f>D95+D69</f>
        <v>24627.24</v>
      </c>
      <c r="E106" s="134">
        <f>E95+E69</f>
        <v>21301.14</v>
      </c>
      <c r="F106" s="137">
        <f t="shared" si="82"/>
        <v>13729.580999999998</v>
      </c>
      <c r="G106" s="134">
        <f t="shared" ref="G106:O106" si="119">G95+G69</f>
        <v>1373.8319999999999</v>
      </c>
      <c r="H106" s="134">
        <f t="shared" si="119"/>
        <v>1590.57</v>
      </c>
      <c r="I106" s="134">
        <f t="shared" si="119"/>
        <v>1523.86</v>
      </c>
      <c r="J106" s="134">
        <f t="shared" si="119"/>
        <v>2356.9499999999998</v>
      </c>
      <c r="K106" s="134">
        <f t="shared" si="119"/>
        <v>2399.9250000000002</v>
      </c>
      <c r="L106" s="134">
        <f t="shared" si="119"/>
        <v>2584.2940000000003</v>
      </c>
      <c r="M106" s="134">
        <f t="shared" si="119"/>
        <v>706.10400000000004</v>
      </c>
      <c r="N106" s="134">
        <f t="shared" si="119"/>
        <v>1194.046</v>
      </c>
      <c r="O106" s="134">
        <f t="shared" si="119"/>
        <v>14494.236000000001</v>
      </c>
      <c r="P106" s="131">
        <f>F106-O106</f>
        <v>-764.65500000000247</v>
      </c>
      <c r="Q106" s="132">
        <f>F106/O106*100</f>
        <v>94.724420107413721</v>
      </c>
      <c r="R106" s="134">
        <f>R95+R69</f>
        <v>21301.14</v>
      </c>
      <c r="S106" s="131">
        <f>F106-R106</f>
        <v>-7571.5590000000011</v>
      </c>
      <c r="T106" s="132">
        <f>F106/R106*100</f>
        <v>64.454677073621397</v>
      </c>
      <c r="U106" s="132">
        <f t="shared" si="110"/>
        <v>64.454677073621397</v>
      </c>
      <c r="V106" s="137">
        <f>V95+V69</f>
        <v>46690.798000000003</v>
      </c>
      <c r="W106" s="131">
        <f>F106-V106</f>
        <v>-32961.217000000004</v>
      </c>
      <c r="X106" s="132">
        <f>F106/V106*100</f>
        <v>29.405325220614131</v>
      </c>
    </row>
    <row r="107" spans="1:26" s="8" customFormat="1" ht="23.25" x14ac:dyDescent="0.25">
      <c r="A107" s="28"/>
      <c r="B107" s="45"/>
      <c r="C107" s="17"/>
      <c r="D107" s="134"/>
      <c r="E107" s="134"/>
      <c r="F107" s="137"/>
      <c r="G107" s="134"/>
      <c r="H107" s="134"/>
      <c r="I107" s="134"/>
      <c r="J107" s="134"/>
      <c r="K107" s="134"/>
      <c r="L107" s="134"/>
      <c r="M107" s="134"/>
      <c r="N107" s="134"/>
      <c r="O107" s="134"/>
      <c r="P107" s="131"/>
      <c r="Q107" s="132"/>
      <c r="R107" s="134"/>
      <c r="S107" s="131"/>
      <c r="T107" s="132"/>
      <c r="U107" s="132"/>
      <c r="V107" s="137"/>
      <c r="W107" s="131"/>
      <c r="X107" s="132"/>
    </row>
    <row r="108" spans="1:26" s="167" customFormat="1" ht="45" customHeight="1" x14ac:dyDescent="0.3">
      <c r="A108" s="169"/>
      <c r="B108" s="161" t="s">
        <v>141</v>
      </c>
      <c r="C108" s="168"/>
      <c r="D108" s="163">
        <f>D101+D103</f>
        <v>5493661.4369999999</v>
      </c>
      <c r="E108" s="163">
        <f>E101+E103</f>
        <v>5408861.5589999994</v>
      </c>
      <c r="F108" s="163">
        <f t="shared" si="82"/>
        <v>3590667.8380000005</v>
      </c>
      <c r="G108" s="163">
        <f t="shared" ref="G108:O108" si="120">G101+G103</f>
        <v>388043.02200000011</v>
      </c>
      <c r="H108" s="163">
        <f t="shared" si="120"/>
        <v>469695.80700000003</v>
      </c>
      <c r="I108" s="163">
        <f t="shared" si="120"/>
        <v>381084.42200000008</v>
      </c>
      <c r="J108" s="163">
        <f t="shared" si="120"/>
        <v>401135.33299999998</v>
      </c>
      <c r="K108" s="163">
        <f t="shared" si="120"/>
        <v>484481.63500000001</v>
      </c>
      <c r="L108" s="163">
        <f t="shared" si="120"/>
        <v>565177.16800000006</v>
      </c>
      <c r="M108" s="163">
        <f t="shared" si="120"/>
        <v>461680.16399999999</v>
      </c>
      <c r="N108" s="163">
        <f t="shared" si="120"/>
        <v>439370.28699999995</v>
      </c>
      <c r="O108" s="163">
        <f t="shared" si="120"/>
        <v>3508214.7490000003</v>
      </c>
      <c r="P108" s="164">
        <f>F108-O108</f>
        <v>82453.089000000153</v>
      </c>
      <c r="Q108" s="165">
        <f>F108/O108*100</f>
        <v>102.35028625381337</v>
      </c>
      <c r="R108" s="163">
        <f>R98+R71</f>
        <v>3884288.9713333333</v>
      </c>
      <c r="S108" s="164">
        <f>F108-R108</f>
        <v>-293621.13333333284</v>
      </c>
      <c r="T108" s="165">
        <f>F108/R108*100</f>
        <v>92.440800993430116</v>
      </c>
      <c r="U108" s="165">
        <f t="shared" si="110"/>
        <v>66.384909261087657</v>
      </c>
      <c r="V108" s="163">
        <f>V101+V103</f>
        <v>3002750.1010000003</v>
      </c>
      <c r="W108" s="164">
        <f>F108-V108</f>
        <v>587917.7370000002</v>
      </c>
      <c r="X108" s="165">
        <f>F108/V108*100</f>
        <v>119.57930954041787</v>
      </c>
      <c r="Y108" s="163">
        <v>3002750.1009999998</v>
      </c>
      <c r="Z108" s="163">
        <f>Y108-V108</f>
        <v>0</v>
      </c>
    </row>
    <row r="109" spans="1:26" s="59" customFormat="1" ht="22.5" hidden="1" customHeight="1" x14ac:dyDescent="0.3">
      <c r="A109" s="61"/>
      <c r="B109" s="56"/>
      <c r="C109" s="57"/>
      <c r="D109" s="180"/>
      <c r="E109" s="180"/>
      <c r="F109" s="181"/>
      <c r="G109" s="180"/>
      <c r="H109" s="180"/>
      <c r="I109" s="180"/>
      <c r="J109" s="180"/>
      <c r="K109" s="180"/>
      <c r="L109" s="180"/>
      <c r="M109" s="180"/>
      <c r="N109" s="180"/>
      <c r="O109" s="180"/>
      <c r="P109" s="96"/>
      <c r="Q109" s="97"/>
      <c r="R109" s="58"/>
      <c r="S109" s="96"/>
      <c r="T109" s="97"/>
      <c r="U109" s="97"/>
      <c r="V109" s="181"/>
      <c r="W109" s="96"/>
      <c r="X109" s="97"/>
    </row>
    <row r="110" spans="1:26" s="15" customFormat="1" ht="3.75" customHeight="1" x14ac:dyDescent="0.3">
      <c r="A110" s="37"/>
      <c r="B110" s="38"/>
      <c r="C110" s="39"/>
      <c r="D110" s="39"/>
      <c r="E110" s="40"/>
      <c r="F110" s="108"/>
      <c r="G110" s="40"/>
      <c r="H110" s="40"/>
      <c r="I110" s="40"/>
      <c r="J110" s="40"/>
      <c r="K110" s="40"/>
      <c r="L110" s="40"/>
      <c r="M110" s="40"/>
      <c r="N110" s="40"/>
      <c r="O110" s="40"/>
      <c r="P110" s="99"/>
      <c r="Q110" s="100"/>
      <c r="R110" s="40"/>
      <c r="S110" s="99"/>
      <c r="T110" s="100"/>
      <c r="U110" s="100"/>
      <c r="V110" s="108"/>
      <c r="W110" s="99"/>
      <c r="X110" s="100"/>
    </row>
    <row r="111" spans="1:26" s="15" customFormat="1" ht="30" customHeight="1" x14ac:dyDescent="0.4">
      <c r="A111" s="37"/>
      <c r="B111" s="22" t="s">
        <v>91</v>
      </c>
      <c r="C111" s="22"/>
      <c r="D111" s="22"/>
      <c r="E111" s="22"/>
      <c r="F111" s="22" t="s">
        <v>92</v>
      </c>
      <c r="G111" s="22"/>
      <c r="H111" s="22"/>
      <c r="I111" s="22"/>
      <c r="J111" s="22"/>
      <c r="K111" s="22"/>
      <c r="L111" s="22"/>
      <c r="M111" s="22"/>
      <c r="N111" s="22"/>
      <c r="O111" s="40"/>
      <c r="P111" s="99"/>
      <c r="Q111" s="100"/>
      <c r="R111" s="40"/>
      <c r="S111" s="99"/>
      <c r="T111" s="100"/>
      <c r="U111" s="100"/>
      <c r="V111" s="22"/>
      <c r="W111" s="99"/>
      <c r="X111" s="100"/>
    </row>
    <row r="112" spans="1:26" s="8" customFormat="1" ht="18" customHeight="1" x14ac:dyDescent="0.45">
      <c r="A112" s="6"/>
      <c r="B112" s="31" t="s">
        <v>51</v>
      </c>
      <c r="C112" s="19"/>
      <c r="D112" s="19"/>
      <c r="E112" s="19"/>
      <c r="F112" s="21"/>
      <c r="G112" s="21"/>
      <c r="H112" s="21"/>
      <c r="I112" s="21"/>
      <c r="J112" s="21"/>
      <c r="K112" s="21"/>
      <c r="L112" s="21"/>
      <c r="M112" s="21"/>
      <c r="N112" s="21"/>
      <c r="O112" s="7"/>
      <c r="P112" s="101"/>
      <c r="Q112" s="102"/>
      <c r="R112" s="7"/>
      <c r="S112" s="101"/>
      <c r="T112" s="102"/>
      <c r="U112" s="102"/>
      <c r="V112" s="21"/>
      <c r="W112" s="101"/>
      <c r="X112" s="102"/>
    </row>
    <row r="113" spans="1:49" s="8" customFormat="1" ht="30.75" hidden="1" x14ac:dyDescent="0.45">
      <c r="A113" s="6"/>
      <c r="B113" s="19"/>
      <c r="C113" s="19"/>
      <c r="D113" s="19"/>
      <c r="E113" s="146"/>
      <c r="F113" s="62"/>
      <c r="G113" s="21"/>
      <c r="H113" s="21"/>
      <c r="I113" s="21"/>
      <c r="J113" s="21"/>
      <c r="K113" s="21"/>
      <c r="L113" s="21"/>
      <c r="M113" s="21"/>
      <c r="N113" s="21"/>
      <c r="O113" s="7"/>
      <c r="P113" s="101"/>
      <c r="Q113" s="102"/>
      <c r="R113" s="7"/>
      <c r="S113" s="101"/>
      <c r="T113" s="102"/>
      <c r="U113" s="102"/>
      <c r="V113" s="62"/>
      <c r="W113" s="101"/>
      <c r="X113" s="102"/>
    </row>
    <row r="114" spans="1:49" s="4" customFormat="1" ht="30.75" hidden="1" x14ac:dyDescent="0.45">
      <c r="A114" s="29"/>
      <c r="B114" s="19"/>
      <c r="C114" s="19"/>
      <c r="D114" s="119">
        <v>5493661.4369999999</v>
      </c>
      <c r="E114" s="119">
        <v>5408861.5590000004</v>
      </c>
      <c r="F114" s="68">
        <v>3590667.838</v>
      </c>
      <c r="G114" s="68">
        <v>388043.022</v>
      </c>
      <c r="H114" s="68">
        <v>469695.80800000002</v>
      </c>
      <c r="I114" s="68">
        <v>381084.42200000002</v>
      </c>
      <c r="J114" s="68">
        <v>401135.33299999998</v>
      </c>
      <c r="K114" s="68"/>
      <c r="L114" s="68"/>
      <c r="M114" s="68"/>
      <c r="N114" s="68">
        <v>565177.16799999995</v>
      </c>
      <c r="O114" s="68">
        <v>3508214.7489999998</v>
      </c>
      <c r="P114" s="5"/>
      <c r="Q114" s="5"/>
      <c r="R114" s="22"/>
      <c r="S114" s="5"/>
      <c r="T114" s="5"/>
      <c r="U114" s="5"/>
      <c r="V114" s="68"/>
      <c r="W114" s="5"/>
    </row>
    <row r="115" spans="1:49" ht="12" hidden="1" customHeight="1" x14ac:dyDescent="0.45">
      <c r="B115" s="31"/>
      <c r="C115" s="21"/>
      <c r="D115" s="21"/>
      <c r="E115" s="21"/>
      <c r="F115" s="62"/>
      <c r="G115" s="62"/>
      <c r="H115" s="21"/>
      <c r="I115" s="21"/>
      <c r="J115" s="21"/>
      <c r="K115" s="21"/>
      <c r="L115" s="21"/>
      <c r="M115" s="21"/>
      <c r="N115" s="21"/>
      <c r="V115" s="62"/>
    </row>
    <row r="116" spans="1:49" s="2" customFormat="1" ht="30.75" hidden="1" customHeight="1" x14ac:dyDescent="0.45">
      <c r="A116" s="30"/>
      <c r="B116" s="19"/>
      <c r="C116" s="19"/>
      <c r="D116" s="19"/>
      <c r="E116" s="19"/>
      <c r="F116" s="62"/>
      <c r="G116" s="62"/>
      <c r="H116" s="21"/>
      <c r="I116" s="21"/>
      <c r="J116" s="21"/>
      <c r="K116" s="21"/>
      <c r="L116" s="21"/>
      <c r="M116" s="21"/>
      <c r="N116" s="21"/>
      <c r="P116" s="156"/>
      <c r="Q116" s="156"/>
      <c r="R116" s="156"/>
      <c r="S116" s="156"/>
      <c r="T116" s="156"/>
      <c r="U116" s="156"/>
      <c r="V116" s="62"/>
      <c r="W116" s="156"/>
    </row>
    <row r="117" spans="1:49" s="2" customFormat="1" ht="30.75" hidden="1" customHeight="1" x14ac:dyDescent="0.45">
      <c r="A117" s="30"/>
      <c r="B117" s="19"/>
      <c r="C117" s="19"/>
      <c r="D117" s="19"/>
      <c r="E117" s="19"/>
      <c r="F117" s="62"/>
      <c r="G117" s="62"/>
      <c r="H117" s="21"/>
      <c r="I117" s="21"/>
      <c r="J117" s="21"/>
      <c r="K117" s="21"/>
      <c r="L117" s="21"/>
      <c r="M117" s="21"/>
      <c r="N117" s="21"/>
      <c r="P117" s="156"/>
      <c r="Q117" s="156"/>
      <c r="R117" s="156"/>
      <c r="S117" s="156"/>
      <c r="T117" s="156"/>
      <c r="U117" s="156"/>
      <c r="V117" s="62"/>
      <c r="W117" s="156"/>
    </row>
    <row r="118" spans="1:49" s="2" customFormat="1" ht="16.5" hidden="1" customHeight="1" x14ac:dyDescent="0.45">
      <c r="A118" s="30"/>
      <c r="B118" s="31"/>
      <c r="C118" s="21"/>
      <c r="D118" s="21"/>
      <c r="E118" s="21"/>
      <c r="F118" s="62"/>
      <c r="G118" s="62"/>
      <c r="H118" s="21"/>
      <c r="I118" s="21"/>
      <c r="J118" s="21"/>
      <c r="K118" s="21"/>
      <c r="L118" s="21"/>
      <c r="M118" s="21"/>
      <c r="N118" s="21"/>
      <c r="P118" s="156"/>
      <c r="Q118" s="156"/>
      <c r="R118" s="156"/>
      <c r="S118" s="156"/>
      <c r="T118" s="156"/>
      <c r="U118" s="156"/>
      <c r="V118" s="62"/>
      <c r="W118" s="156"/>
    </row>
    <row r="119" spans="1:49" ht="18.75" hidden="1" x14ac:dyDescent="0.3">
      <c r="B119" s="29"/>
      <c r="D119" s="119">
        <f t="shared" ref="D119:J119" si="121">D114-D108</f>
        <v>0</v>
      </c>
      <c r="E119" s="119">
        <f t="shared" si="121"/>
        <v>0</v>
      </c>
      <c r="F119" s="119">
        <f t="shared" si="121"/>
        <v>0</v>
      </c>
      <c r="G119" s="119">
        <f t="shared" si="121"/>
        <v>0</v>
      </c>
      <c r="H119" s="119">
        <f t="shared" si="121"/>
        <v>9.9999998928979039E-4</v>
      </c>
      <c r="I119" s="119">
        <f t="shared" si="121"/>
        <v>0</v>
      </c>
      <c r="J119" s="119">
        <f t="shared" si="121"/>
        <v>0</v>
      </c>
      <c r="K119" s="119"/>
      <c r="L119" s="119"/>
      <c r="M119" s="119"/>
      <c r="N119" s="119">
        <f>N114-N108</f>
        <v>125806.88099999999</v>
      </c>
      <c r="O119" s="119">
        <f>O114-O108</f>
        <v>0</v>
      </c>
      <c r="P119" s="186" t="s">
        <v>48</v>
      </c>
      <c r="Q119" s="186"/>
      <c r="R119" s="104">
        <f>D48/12*8</f>
        <v>2926306.6566666663</v>
      </c>
      <c r="V119" s="119"/>
    </row>
    <row r="120" spans="1:49" ht="18.75" hidden="1" x14ac:dyDescent="0.3">
      <c r="B120" s="29"/>
      <c r="O120" s="121"/>
      <c r="P120" s="156"/>
      <c r="Q120" s="156"/>
      <c r="R120" s="104">
        <f>R119-R48</f>
        <v>0</v>
      </c>
    </row>
    <row r="121" spans="1:49" ht="18.75" hidden="1" x14ac:dyDescent="0.3">
      <c r="B121" s="4"/>
      <c r="C121" s="3"/>
      <c r="D121" s="3"/>
      <c r="E121" s="120"/>
      <c r="F121" s="120"/>
      <c r="P121" s="186" t="s">
        <v>49</v>
      </c>
      <c r="Q121" s="186"/>
      <c r="R121" s="103">
        <f>D88/12*8</f>
        <v>114649.27466666668</v>
      </c>
      <c r="V121" s="120"/>
    </row>
    <row r="122" spans="1:49" ht="18.75" hidden="1" x14ac:dyDescent="0.3">
      <c r="B122" s="4"/>
      <c r="C122" s="3"/>
      <c r="D122" s="3"/>
      <c r="E122" s="3"/>
      <c r="F122" s="3"/>
      <c r="P122" s="156"/>
      <c r="Q122" s="156"/>
      <c r="R122" s="104">
        <f>R121-R88</f>
        <v>0</v>
      </c>
      <c r="V122" s="3"/>
    </row>
    <row r="123" spans="1:49" ht="22.5" hidden="1" x14ac:dyDescent="0.3">
      <c r="B123" s="4"/>
      <c r="C123" s="3"/>
      <c r="D123" s="3"/>
      <c r="E123" s="147"/>
      <c r="F123" s="147"/>
      <c r="P123" s="186" t="s">
        <v>50</v>
      </c>
      <c r="Q123" s="186"/>
      <c r="R123" s="104">
        <f>R121+R93</f>
        <v>137565.47466666668</v>
      </c>
      <c r="V123" s="147"/>
    </row>
    <row r="124" spans="1:49" ht="18.75" hidden="1" x14ac:dyDescent="0.3">
      <c r="B124" s="4"/>
      <c r="C124" s="3"/>
      <c r="D124" s="3"/>
      <c r="E124" s="3"/>
      <c r="P124" s="156"/>
      <c r="Q124" s="156"/>
      <c r="R124" s="104">
        <f>R123-R98</f>
        <v>0</v>
      </c>
    </row>
    <row r="125" spans="1:49" ht="18.75" hidden="1" x14ac:dyDescent="0.3">
      <c r="B125" s="4"/>
      <c r="C125" s="3"/>
      <c r="D125" s="3"/>
      <c r="E125" s="3"/>
    </row>
    <row r="126" spans="1:49" ht="18.75" hidden="1" x14ac:dyDescent="0.3">
      <c r="B126" s="149"/>
      <c r="C126" s="3"/>
      <c r="D126" s="3"/>
      <c r="E126" s="3"/>
    </row>
    <row r="127" spans="1:49" ht="18.75" hidden="1" x14ac:dyDescent="0.3">
      <c r="B127" s="4"/>
      <c r="C127" s="3"/>
      <c r="D127" s="3"/>
      <c r="E127" s="3"/>
    </row>
    <row r="128" spans="1:49" s="20" customFormat="1" ht="18.75" hidden="1" x14ac:dyDescent="0.3">
      <c r="B128" s="4"/>
      <c r="C128" s="3"/>
      <c r="D128" s="3"/>
      <c r="E128" s="3"/>
      <c r="F128" s="33"/>
      <c r="G128" s="3"/>
      <c r="H128" s="3"/>
      <c r="I128" s="3"/>
      <c r="J128" s="3"/>
      <c r="K128" s="3"/>
      <c r="L128" s="3"/>
      <c r="M128" s="3"/>
      <c r="N128" s="3"/>
      <c r="O128" s="3"/>
      <c r="P128" s="1"/>
      <c r="Q128" s="1"/>
      <c r="R128" s="1"/>
      <c r="S128" s="1"/>
      <c r="T128" s="1"/>
      <c r="U128" s="1"/>
      <c r="V128" s="33"/>
      <c r="W128" s="1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2:49" s="20" customFormat="1" ht="18.75" hidden="1" x14ac:dyDescent="0.3">
      <c r="B129" s="4"/>
      <c r="C129" s="3"/>
      <c r="D129" s="3"/>
      <c r="E129" s="120"/>
      <c r="F129" s="150"/>
      <c r="G129" s="3"/>
      <c r="H129" s="3"/>
      <c r="I129" s="3"/>
      <c r="J129" s="3"/>
      <c r="K129" s="3"/>
      <c r="L129" s="3"/>
      <c r="M129" s="3"/>
      <c r="N129" s="3"/>
      <c r="O129" s="3"/>
      <c r="P129" s="1"/>
      <c r="Q129" s="1"/>
      <c r="R129" s="1"/>
      <c r="S129" s="1"/>
      <c r="T129" s="1"/>
      <c r="U129" s="1"/>
      <c r="V129" s="150"/>
      <c r="W129" s="1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2:49" s="20" customFormat="1" ht="18.75" hidden="1" x14ac:dyDescent="0.3">
      <c r="B130" s="4"/>
      <c r="C130" s="3"/>
      <c r="D130" s="151"/>
      <c r="E130" s="3"/>
      <c r="F130" s="33"/>
      <c r="G130" s="3"/>
      <c r="H130" s="3"/>
      <c r="I130" s="3"/>
      <c r="J130" s="3"/>
      <c r="K130" s="3"/>
      <c r="L130" s="3"/>
      <c r="M130" s="3"/>
      <c r="N130" s="3"/>
      <c r="O130" s="3"/>
      <c r="P130" s="1"/>
      <c r="Q130" s="1"/>
      <c r="R130" s="1"/>
      <c r="S130" s="1"/>
      <c r="T130" s="1"/>
      <c r="U130" s="1"/>
      <c r="V130" s="33"/>
      <c r="W130" s="1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2:49" s="20" customFormat="1" ht="18.75" hidden="1" x14ac:dyDescent="0.3">
      <c r="B131" s="4"/>
      <c r="C131" s="3"/>
      <c r="D131" s="3"/>
      <c r="E131" s="3"/>
      <c r="F131" s="33"/>
      <c r="G131" s="3"/>
      <c r="H131" s="3"/>
      <c r="I131" s="3"/>
      <c r="J131" s="3"/>
      <c r="K131" s="3"/>
      <c r="L131" s="3"/>
      <c r="M131" s="3"/>
      <c r="N131" s="3"/>
      <c r="O131" s="3"/>
      <c r="P131" s="1"/>
      <c r="Q131" s="1"/>
      <c r="R131" s="1"/>
      <c r="S131" s="1"/>
      <c r="T131" s="1"/>
      <c r="U131" s="1"/>
      <c r="V131" s="33"/>
      <c r="W131" s="1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2:49" s="20" customFormat="1" ht="22.5" hidden="1" x14ac:dyDescent="0.3">
      <c r="B132" s="4"/>
      <c r="C132" s="3"/>
      <c r="D132" s="148"/>
      <c r="E132" s="3"/>
      <c r="F132" s="33"/>
      <c r="G132" s="3"/>
      <c r="H132" s="3"/>
      <c r="I132" s="3"/>
      <c r="J132" s="3"/>
      <c r="K132" s="3"/>
      <c r="L132" s="3"/>
      <c r="M132" s="3"/>
      <c r="N132" s="3"/>
      <c r="O132" s="3"/>
      <c r="P132" s="1"/>
      <c r="Q132" s="1"/>
      <c r="R132" s="1"/>
      <c r="S132" s="1"/>
      <c r="T132" s="1"/>
      <c r="U132" s="1"/>
      <c r="V132" s="33"/>
      <c r="W132" s="1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2:49" s="20" customFormat="1" ht="18.75" hidden="1" x14ac:dyDescent="0.3">
      <c r="B133" s="4"/>
      <c r="C133" s="3"/>
      <c r="D133" s="3"/>
      <c r="E133" s="3"/>
      <c r="F133" s="150"/>
      <c r="G133" s="3"/>
      <c r="H133" s="3"/>
      <c r="I133" s="3"/>
      <c r="J133" s="3"/>
      <c r="K133" s="3"/>
      <c r="L133" s="3"/>
      <c r="M133" s="3"/>
      <c r="N133" s="3"/>
      <c r="O133" s="3"/>
      <c r="P133" s="1"/>
      <c r="Q133" s="1"/>
      <c r="R133" s="1"/>
      <c r="S133" s="1"/>
      <c r="T133" s="1"/>
      <c r="U133" s="1"/>
      <c r="V133" s="150"/>
      <c r="W133" s="1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2:49" s="20" customFormat="1" ht="18.75" hidden="1" x14ac:dyDescent="0.3">
      <c r="B134" s="4"/>
      <c r="C134" s="3"/>
      <c r="D134" s="3"/>
      <c r="E134" s="3"/>
      <c r="F134" s="33"/>
      <c r="G134" s="3"/>
      <c r="H134" s="3"/>
      <c r="I134" s="3"/>
      <c r="J134" s="3"/>
      <c r="K134" s="3"/>
      <c r="L134" s="3"/>
      <c r="M134" s="3"/>
      <c r="N134" s="3"/>
      <c r="O134" s="3"/>
      <c r="P134" s="1"/>
      <c r="Q134" s="1"/>
      <c r="R134" s="1"/>
      <c r="S134" s="1"/>
      <c r="T134" s="1"/>
      <c r="U134" s="1"/>
      <c r="V134" s="33"/>
      <c r="W134" s="1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2:49" s="20" customFormat="1" ht="18.75" hidden="1" x14ac:dyDescent="0.3">
      <c r="B135" s="4"/>
      <c r="C135" s="3"/>
      <c r="D135" s="3"/>
      <c r="E135" s="3"/>
      <c r="F135" s="33"/>
      <c r="G135" s="3"/>
      <c r="H135" s="3"/>
      <c r="I135" s="3"/>
      <c r="J135" s="3"/>
      <c r="K135" s="3"/>
      <c r="L135" s="3"/>
      <c r="M135" s="3"/>
      <c r="N135" s="3"/>
      <c r="O135" s="3"/>
      <c r="P135" s="1"/>
      <c r="Q135" s="1"/>
      <c r="R135" s="1"/>
      <c r="S135" s="1"/>
      <c r="T135" s="1"/>
      <c r="U135" s="1"/>
      <c r="V135" s="33"/>
      <c r="W135" s="1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2:49" s="20" customFormat="1" ht="18.75" hidden="1" x14ac:dyDescent="0.3">
      <c r="B136" s="29"/>
      <c r="F136" s="33"/>
      <c r="G136" s="3"/>
      <c r="H136" s="3"/>
      <c r="I136" s="3"/>
      <c r="J136" s="3"/>
      <c r="K136" s="3"/>
      <c r="L136" s="3"/>
      <c r="M136" s="3"/>
      <c r="N136" s="3"/>
      <c r="O136" s="3"/>
      <c r="P136" s="1"/>
      <c r="Q136" s="1"/>
      <c r="R136" s="1"/>
      <c r="S136" s="1"/>
      <c r="T136" s="1"/>
      <c r="U136" s="1"/>
      <c r="V136" s="33"/>
      <c r="W136" s="1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2:49" s="20" customFormat="1" ht="18.75" hidden="1" x14ac:dyDescent="0.3">
      <c r="B137" s="29"/>
      <c r="F137" s="33"/>
      <c r="G137" s="3"/>
      <c r="H137" s="3"/>
      <c r="I137" s="3"/>
      <c r="J137" s="3"/>
      <c r="K137" s="3"/>
      <c r="L137" s="3"/>
      <c r="M137" s="3"/>
      <c r="N137" s="3"/>
      <c r="O137" s="3"/>
      <c r="P137" s="1"/>
      <c r="Q137" s="1"/>
      <c r="R137" s="1"/>
      <c r="S137" s="1"/>
      <c r="T137" s="1"/>
      <c r="U137" s="1"/>
      <c r="V137" s="33"/>
      <c r="W137" s="1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</row>
    <row r="138" spans="2:49" hidden="1" x14ac:dyDescent="0.2"/>
  </sheetData>
  <mergeCells count="32">
    <mergeCell ref="P121:Q121"/>
    <mergeCell ref="P123:Q123"/>
    <mergeCell ref="A1:X1"/>
    <mergeCell ref="A6:X6"/>
    <mergeCell ref="A72:X72"/>
    <mergeCell ref="A100:X100"/>
    <mergeCell ref="G3:G4"/>
    <mergeCell ref="B3:B4"/>
    <mergeCell ref="C3:C4"/>
    <mergeCell ref="D3:D4"/>
    <mergeCell ref="E3:E4"/>
    <mergeCell ref="F3:F4"/>
    <mergeCell ref="A3:A4"/>
    <mergeCell ref="H3:H4"/>
    <mergeCell ref="X3:X4"/>
    <mergeCell ref="O3:O4"/>
    <mergeCell ref="W3:W4"/>
    <mergeCell ref="N3:N4"/>
    <mergeCell ref="J3:J4"/>
    <mergeCell ref="C22:C24"/>
    <mergeCell ref="P119:Q119"/>
    <mergeCell ref="I3:I4"/>
    <mergeCell ref="U3:U4"/>
    <mergeCell ref="V3:V4"/>
    <mergeCell ref="R3:R4"/>
    <mergeCell ref="S3:S4"/>
    <mergeCell ref="T3:T4"/>
    <mergeCell ref="P3:P4"/>
    <mergeCell ref="Q3:Q4"/>
    <mergeCell ref="K3:K4"/>
    <mergeCell ref="L3:L4"/>
    <mergeCell ref="M3:M4"/>
  </mergeCells>
  <printOptions horizontalCentered="1"/>
  <pageMargins left="0.39370078740157483" right="0" top="0" bottom="0" header="0.23622047244094491" footer="0.11811023622047245"/>
  <pageSetup paperSize="8" scale="67" fitToHeight="6" orientation="landscape" horizontalDpi="300" verticalDpi="300" r:id="rId1"/>
  <headerFooter alignWithMargins="0"/>
  <rowBreaks count="2" manualBreakCount="2">
    <brk id="48" max="23" man="1"/>
    <brk id="71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8 місяців 2022</vt:lpstr>
      <vt:lpstr>'8 місяців 2022'!Заголовки_для_печати</vt:lpstr>
      <vt:lpstr>'8 місяців 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2022-09-01T07:51:44Z</cp:lastPrinted>
  <dcterms:created xsi:type="dcterms:W3CDTF">1996-10-08T23:32:33Z</dcterms:created>
  <dcterms:modified xsi:type="dcterms:W3CDTF">2022-09-06T08:22:35Z</dcterms:modified>
</cp:coreProperties>
</file>